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evilacquaknight-my.sharepoint.com/personal/cstanaland_frontierenergy_com/Documents/Files/"/>
    </mc:Choice>
  </mc:AlternateContent>
  <xr:revisionPtr revIDLastSave="0" documentId="8_{BA8B5702-F9E1-4C10-A256-AC8BDB3595CC}" xr6:coauthVersionLast="47" xr6:coauthVersionMax="47" xr10:uidLastSave="{00000000-0000-0000-0000-000000000000}"/>
  <bookViews>
    <workbookView xWindow="-20070" yWindow="2310" windowWidth="19230" windowHeight="13110" xr2:uid="{00000000-000D-0000-FFFF-FFFF00000000}"/>
  </bookViews>
  <sheets>
    <sheet name="Project Info" sheetId="1" r:id="rId1"/>
    <sheet name="Summary" sheetId="5" r:id="rId2"/>
    <sheet name="Inventory" sheetId="2" r:id="rId3"/>
    <sheet name="Factor Tables" sheetId="4" r:id="rId4"/>
  </sheets>
  <externalReferences>
    <externalReference r:id="rId5"/>
  </externalReferences>
  <definedNames>
    <definedName name="BuildingTypesACC">'Factor Tables'!$P$4:$P$16</definedName>
    <definedName name="BuildingTypesDX">'Factor Tables'!$O$4:$O$23</definedName>
    <definedName name="BuildingTypesWCC">'Factor Tables'!$Q$4:$Q$16</definedName>
    <definedName name="NewConstructionBldgType">'[1]Factor Tables'!$B$85:$B$118</definedName>
    <definedName name="_xlnm.Print_Area" localSheetId="2">Inventory!$B$2:$M$47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5" i="2" l="1"/>
  <c r="D51" i="2" s="1"/>
  <c r="D50" i="2" l="1"/>
  <c r="C41" i="4" l="1"/>
  <c r="C42" i="4"/>
  <c r="C31" i="4"/>
  <c r="C32" i="4"/>
  <c r="D109" i="4" l="1"/>
  <c r="D108" i="4"/>
  <c r="D107" i="4"/>
  <c r="D106" i="4"/>
  <c r="D105" i="4"/>
  <c r="D104" i="4"/>
  <c r="D102" i="4"/>
  <c r="D101" i="4"/>
  <c r="D100" i="4"/>
  <c r="D99" i="4"/>
  <c r="D98" i="4"/>
  <c r="D97" i="4"/>
  <c r="E109" i="4"/>
  <c r="E108" i="4"/>
  <c r="E107" i="4"/>
  <c r="E106" i="4"/>
  <c r="E105" i="4"/>
  <c r="E104" i="4"/>
  <c r="E102" i="4"/>
  <c r="E101" i="4"/>
  <c r="E100" i="4"/>
  <c r="E99" i="4"/>
  <c r="E98" i="4"/>
  <c r="E97" i="4"/>
  <c r="F108" i="4"/>
  <c r="F107" i="4"/>
  <c r="F106" i="4"/>
  <c r="F105" i="4"/>
  <c r="F104" i="4"/>
  <c r="F102" i="4"/>
  <c r="F101" i="4"/>
  <c r="F100" i="4"/>
  <c r="F99" i="4"/>
  <c r="F98" i="4"/>
  <c r="F97" i="4"/>
  <c r="F109" i="4"/>
  <c r="G109" i="4"/>
  <c r="G108" i="4"/>
  <c r="G107" i="4"/>
  <c r="G106" i="4"/>
  <c r="G105" i="4"/>
  <c r="G104" i="4"/>
  <c r="G102" i="4"/>
  <c r="G101" i="4"/>
  <c r="G100" i="4"/>
  <c r="G99" i="4"/>
  <c r="G98" i="4"/>
  <c r="G97" i="4"/>
  <c r="F93" i="4"/>
  <c r="F92" i="4"/>
  <c r="E93" i="4"/>
  <c r="E92" i="4"/>
  <c r="D93" i="4"/>
  <c r="D92" i="4"/>
  <c r="C93" i="4"/>
  <c r="C92" i="4"/>
  <c r="E88" i="4"/>
  <c r="E87" i="4"/>
  <c r="E86" i="4"/>
  <c r="E85" i="4"/>
  <c r="E84" i="4"/>
  <c r="E83" i="4"/>
  <c r="D84" i="4"/>
  <c r="D83" i="4"/>
  <c r="C84" i="4"/>
  <c r="C83" i="4"/>
  <c r="E79" i="4"/>
  <c r="E78" i="4"/>
  <c r="E77" i="4"/>
  <c r="E76" i="4"/>
  <c r="E75" i="4"/>
  <c r="E74" i="4"/>
  <c r="D76" i="4"/>
  <c r="D75" i="4"/>
  <c r="D74" i="4"/>
  <c r="C75" i="4"/>
  <c r="C74" i="4"/>
  <c r="D33" i="4"/>
  <c r="G33" i="4"/>
  <c r="D34" i="4"/>
  <c r="G34" i="4"/>
  <c r="D77" i="4" s="1"/>
  <c r="D35" i="4"/>
  <c r="G35" i="4"/>
  <c r="D78" i="4" s="1"/>
  <c r="D36" i="4"/>
  <c r="G36" i="4"/>
  <c r="D79" i="4" s="1"/>
  <c r="D43" i="4"/>
  <c r="C43" i="4"/>
  <c r="F43" i="4"/>
  <c r="C85" i="4" s="1"/>
  <c r="G43" i="4"/>
  <c r="D85" i="4" s="1"/>
  <c r="D44" i="4"/>
  <c r="C44" i="4"/>
  <c r="F44" i="4"/>
  <c r="C86" i="4" s="1"/>
  <c r="G44" i="4"/>
  <c r="D86" i="4" s="1"/>
  <c r="D45" i="4"/>
  <c r="C45" i="4"/>
  <c r="F45" i="4"/>
  <c r="C87" i="4" s="1"/>
  <c r="G45" i="4"/>
  <c r="D87" i="4" s="1"/>
  <c r="D46" i="4"/>
  <c r="C46" i="4"/>
  <c r="F46" i="4"/>
  <c r="C88" i="4" s="1"/>
  <c r="G46" i="4"/>
  <c r="D88" i="4" s="1"/>
  <c r="M12" i="4" l="1"/>
  <c r="M11" i="4"/>
  <c r="M10" i="4"/>
  <c r="M9" i="4"/>
  <c r="M8" i="4"/>
  <c r="M7" i="4"/>
  <c r="M6" i="4"/>
  <c r="M5" i="4"/>
  <c r="M4" i="4"/>
  <c r="M27" i="2"/>
  <c r="M29" i="2" s="1"/>
  <c r="L27" i="2"/>
  <c r="L29" i="2" s="1"/>
  <c r="K27" i="2"/>
  <c r="K29" i="2" s="1"/>
  <c r="J27" i="2"/>
  <c r="J29" i="2" s="1"/>
  <c r="I27" i="2"/>
  <c r="I29" i="2" s="1"/>
  <c r="H27" i="2"/>
  <c r="H29" i="2" s="1"/>
  <c r="G27" i="2"/>
  <c r="G29" i="2" s="1"/>
  <c r="F27" i="2"/>
  <c r="F29" i="2" s="1"/>
  <c r="E27" i="2"/>
  <c r="E29" i="2" s="1"/>
  <c r="D27" i="2"/>
  <c r="D29" i="2" s="1"/>
  <c r="D21" i="5"/>
  <c r="C21" i="5"/>
  <c r="D17" i="5"/>
  <c r="C17" i="5"/>
  <c r="M4" i="2"/>
  <c r="L4" i="2"/>
  <c r="K4" i="2"/>
  <c r="J4" i="2"/>
  <c r="I4" i="2"/>
  <c r="H4" i="2"/>
  <c r="G4" i="2"/>
  <c r="F4" i="2"/>
  <c r="E4" i="2"/>
  <c r="M3" i="2"/>
  <c r="L3" i="2"/>
  <c r="K3" i="2"/>
  <c r="J3" i="2"/>
  <c r="I3" i="2"/>
  <c r="H3" i="2"/>
  <c r="G3" i="2"/>
  <c r="F3" i="2"/>
  <c r="E3" i="2"/>
  <c r="M2" i="2"/>
  <c r="M95" i="2" s="1"/>
  <c r="L2" i="2"/>
  <c r="L95" i="2" s="1"/>
  <c r="K2" i="2"/>
  <c r="K95" i="2" s="1"/>
  <c r="J2" i="2"/>
  <c r="J95" i="2" s="1"/>
  <c r="I2" i="2"/>
  <c r="I95" i="2" s="1"/>
  <c r="H2" i="2"/>
  <c r="H95" i="2" s="1"/>
  <c r="G2" i="2"/>
  <c r="G95" i="2" s="1"/>
  <c r="F2" i="2"/>
  <c r="F95" i="2" s="1"/>
  <c r="E2" i="2"/>
  <c r="E95" i="2" s="1"/>
  <c r="M60" i="2"/>
  <c r="M70" i="2" s="1"/>
  <c r="L60" i="2"/>
  <c r="L70" i="2" s="1"/>
  <c r="K60" i="2"/>
  <c r="K80" i="2" s="1"/>
  <c r="J60" i="2"/>
  <c r="J70" i="2" s="1"/>
  <c r="I60" i="2"/>
  <c r="I80" i="2" s="1"/>
  <c r="H60" i="2"/>
  <c r="H70" i="2" s="1"/>
  <c r="G60" i="2"/>
  <c r="G70" i="2" s="1"/>
  <c r="F60" i="2"/>
  <c r="F80" i="2" s="1"/>
  <c r="E60" i="2"/>
  <c r="E70" i="2" s="1"/>
  <c r="D60" i="2"/>
  <c r="D70" i="2" s="1"/>
  <c r="F36" i="4"/>
  <c r="C79" i="4" s="1"/>
  <c r="F35" i="4"/>
  <c r="C78" i="4" s="1"/>
  <c r="F34" i="4"/>
  <c r="C77" i="4" s="1"/>
  <c r="F33" i="4"/>
  <c r="C76" i="4" s="1"/>
  <c r="C36" i="4"/>
  <c r="C35" i="4"/>
  <c r="C34" i="4"/>
  <c r="C33" i="4"/>
  <c r="M58" i="2"/>
  <c r="M68" i="2" s="1"/>
  <c r="L58" i="2"/>
  <c r="L68" i="2" s="1"/>
  <c r="K58" i="2"/>
  <c r="K78" i="2" s="1"/>
  <c r="J58" i="2"/>
  <c r="J68" i="2" s="1"/>
  <c r="I58" i="2"/>
  <c r="I68" i="2" s="1"/>
  <c r="H58" i="2"/>
  <c r="H68" i="2" s="1"/>
  <c r="G58" i="2"/>
  <c r="F58" i="2"/>
  <c r="E58" i="2"/>
  <c r="M57" i="2"/>
  <c r="M67" i="2" s="1"/>
  <c r="L57" i="2"/>
  <c r="L77" i="2" s="1"/>
  <c r="K57" i="2"/>
  <c r="K67" i="2" s="1"/>
  <c r="J57" i="2"/>
  <c r="J67" i="2" s="1"/>
  <c r="I57" i="2"/>
  <c r="I87" i="2" s="1"/>
  <c r="H57" i="2"/>
  <c r="H67" i="2" s="1"/>
  <c r="G57" i="2"/>
  <c r="G67" i="2" s="1"/>
  <c r="F57" i="2"/>
  <c r="F77" i="2" s="1"/>
  <c r="E57" i="2"/>
  <c r="E67" i="2" s="1"/>
  <c r="M56" i="2"/>
  <c r="M76" i="2" s="1"/>
  <c r="L56" i="2"/>
  <c r="L66" i="2" s="1"/>
  <c r="K56" i="2"/>
  <c r="K66" i="2" s="1"/>
  <c r="J56" i="2"/>
  <c r="J66" i="2" s="1"/>
  <c r="I56" i="2"/>
  <c r="I66" i="2" s="1"/>
  <c r="H56" i="2"/>
  <c r="H66" i="2" s="1"/>
  <c r="G56" i="2"/>
  <c r="F56" i="2"/>
  <c r="E56" i="2"/>
  <c r="M55" i="2"/>
  <c r="M75" i="2" s="1"/>
  <c r="L55" i="2"/>
  <c r="L65" i="2" s="1"/>
  <c r="K55" i="2"/>
  <c r="K75" i="2" s="1"/>
  <c r="J55" i="2"/>
  <c r="J65" i="2" s="1"/>
  <c r="I55" i="2"/>
  <c r="I65" i="2" s="1"/>
  <c r="H55" i="2"/>
  <c r="H75" i="2" s="1"/>
  <c r="G55" i="2"/>
  <c r="F55" i="2"/>
  <c r="F75" i="2" s="1"/>
  <c r="E55" i="2"/>
  <c r="E65" i="2" s="1"/>
  <c r="D58" i="2"/>
  <c r="D57" i="2"/>
  <c r="D56" i="2"/>
  <c r="D55" i="2"/>
  <c r="M26" i="2"/>
  <c r="M37" i="2" s="1"/>
  <c r="L26" i="2"/>
  <c r="L37" i="2" s="1"/>
  <c r="K26" i="2"/>
  <c r="J26" i="2"/>
  <c r="J37" i="2" s="1"/>
  <c r="I26" i="2"/>
  <c r="I37" i="2" s="1"/>
  <c r="H26" i="2"/>
  <c r="H37" i="2" s="1"/>
  <c r="G26" i="2"/>
  <c r="G37" i="2" s="1"/>
  <c r="F26" i="2"/>
  <c r="F37" i="2" s="1"/>
  <c r="E26" i="2"/>
  <c r="E37" i="2" s="1"/>
  <c r="M25" i="2"/>
  <c r="L25" i="2"/>
  <c r="K25" i="2"/>
  <c r="J25" i="2"/>
  <c r="I25" i="2"/>
  <c r="H25" i="2"/>
  <c r="G25" i="2"/>
  <c r="F25" i="2"/>
  <c r="E25" i="2"/>
  <c r="M24" i="2"/>
  <c r="M31" i="2" s="1"/>
  <c r="L24" i="2"/>
  <c r="L31" i="2" s="1"/>
  <c r="K24" i="2"/>
  <c r="J24" i="2"/>
  <c r="J31" i="2" s="1"/>
  <c r="I24" i="2"/>
  <c r="I31" i="2" s="1"/>
  <c r="H24" i="2"/>
  <c r="G24" i="2"/>
  <c r="G31" i="2" s="1"/>
  <c r="F24" i="2"/>
  <c r="F31" i="2" s="1"/>
  <c r="E24" i="2"/>
  <c r="E31" i="2" s="1"/>
  <c r="D26" i="2"/>
  <c r="D37" i="2" s="1"/>
  <c r="D25" i="2"/>
  <c r="D24" i="2"/>
  <c r="D31" i="2" s="1"/>
  <c r="M3" i="4"/>
  <c r="D22" i="5"/>
  <c r="C22" i="5"/>
  <c r="C20" i="5"/>
  <c r="D20" i="5"/>
  <c r="D18" i="5"/>
  <c r="C18" i="5"/>
  <c r="C16" i="5"/>
  <c r="D16" i="5"/>
  <c r="D19" i="5"/>
  <c r="C19" i="5"/>
  <c r="D3" i="1"/>
  <c r="A1" i="5"/>
  <c r="D59" i="2"/>
  <c r="D69" i="2" s="1"/>
  <c r="M59" i="2"/>
  <c r="M79" i="2" s="1"/>
  <c r="L59" i="2"/>
  <c r="L69" i="2" s="1"/>
  <c r="K59" i="2"/>
  <c r="K79" i="2" s="1"/>
  <c r="J59" i="2"/>
  <c r="J79" i="2" s="1"/>
  <c r="I59" i="2"/>
  <c r="I69" i="2" s="1"/>
  <c r="H59" i="2"/>
  <c r="H69" i="2" s="1"/>
  <c r="G59" i="2"/>
  <c r="G69" i="2" s="1"/>
  <c r="F59" i="2"/>
  <c r="F69" i="2" s="1"/>
  <c r="E59" i="2"/>
  <c r="E69" i="2" s="1"/>
  <c r="F5" i="4"/>
  <c r="E5" i="4"/>
  <c r="I5" i="4"/>
  <c r="H5" i="4"/>
  <c r="G17" i="4"/>
  <c r="C17" i="4"/>
  <c r="D17" i="4"/>
  <c r="D4" i="4"/>
  <c r="D5" i="4"/>
  <c r="D9" i="4"/>
  <c r="D10" i="4"/>
  <c r="D11" i="4"/>
  <c r="D12" i="4"/>
  <c r="D24" i="4"/>
  <c r="D25" i="4"/>
  <c r="D15" i="5"/>
  <c r="C15" i="5"/>
  <c r="J75" i="2" l="1"/>
  <c r="J69" i="2"/>
  <c r="J72" i="2" s="1"/>
  <c r="J18" i="2" s="1"/>
  <c r="J45" i="2" s="1"/>
  <c r="M80" i="2"/>
  <c r="M77" i="2"/>
  <c r="J78" i="2"/>
  <c r="J88" i="2"/>
  <c r="I70" i="2"/>
  <c r="K70" i="2"/>
  <c r="M50" i="2"/>
  <c r="M51" i="2"/>
  <c r="H50" i="2"/>
  <c r="H51" i="2"/>
  <c r="M69" i="2"/>
  <c r="H77" i="2"/>
  <c r="I51" i="2"/>
  <c r="I50" i="2"/>
  <c r="J51" i="2"/>
  <c r="J50" i="2"/>
  <c r="H80" i="2"/>
  <c r="E50" i="2"/>
  <c r="E51" i="2"/>
  <c r="K50" i="2"/>
  <c r="K51" i="2"/>
  <c r="G50" i="2"/>
  <c r="G51" i="2"/>
  <c r="F51" i="2"/>
  <c r="F50" i="2"/>
  <c r="L50" i="2"/>
  <c r="L51" i="2"/>
  <c r="M33" i="2"/>
  <c r="M35" i="2" s="1"/>
  <c r="L87" i="2"/>
  <c r="L76" i="2"/>
  <c r="L75" i="2"/>
  <c r="L33" i="2"/>
  <c r="L35" i="2" s="1"/>
  <c r="K31" i="2"/>
  <c r="K37" i="2"/>
  <c r="K33" i="2"/>
  <c r="J33" i="2"/>
  <c r="J35" i="2" s="1"/>
  <c r="I75" i="2"/>
  <c r="I33" i="2"/>
  <c r="I35" i="2" s="1"/>
  <c r="H31" i="2"/>
  <c r="H87" i="2"/>
  <c r="H33" i="2"/>
  <c r="J76" i="2"/>
  <c r="L80" i="2"/>
  <c r="L79" i="2"/>
  <c r="H78" i="2"/>
  <c r="K76" i="2"/>
  <c r="K65" i="2"/>
  <c r="K77" i="2"/>
  <c r="G87" i="2"/>
  <c r="E75" i="2"/>
  <c r="M66" i="2"/>
  <c r="K69" i="2"/>
  <c r="H65" i="2"/>
  <c r="H72" i="2" s="1"/>
  <c r="H18" i="2" s="1"/>
  <c r="H45" i="2" s="1"/>
  <c r="H62" i="2"/>
  <c r="M88" i="2"/>
  <c r="J77" i="2"/>
  <c r="J80" i="2"/>
  <c r="J62" i="2"/>
  <c r="I76" i="2"/>
  <c r="H88" i="2"/>
  <c r="H76" i="2"/>
  <c r="H79" i="2"/>
  <c r="L88" i="2"/>
  <c r="J87" i="2"/>
  <c r="J92" i="2" s="1"/>
  <c r="J19" i="2" s="1"/>
  <c r="J41" i="2" s="1"/>
  <c r="G80" i="2"/>
  <c r="E79" i="2"/>
  <c r="E80" i="2"/>
  <c r="E33" i="2"/>
  <c r="E35" i="2" s="1"/>
  <c r="D33" i="2"/>
  <c r="D35" i="2" s="1"/>
  <c r="G62" i="2"/>
  <c r="G66" i="2" s="1"/>
  <c r="G33" i="2"/>
  <c r="G35" i="2" s="1"/>
  <c r="G77" i="2"/>
  <c r="G75" i="2"/>
  <c r="G79" i="2"/>
  <c r="F70" i="2"/>
  <c r="F65" i="2"/>
  <c r="F33" i="2"/>
  <c r="F35" i="2" s="1"/>
  <c r="I47" i="2"/>
  <c r="D62" i="2"/>
  <c r="D66" i="2" s="1"/>
  <c r="H48" i="2"/>
  <c r="J48" i="2"/>
  <c r="I79" i="2"/>
  <c r="L62" i="2"/>
  <c r="K62" i="2"/>
  <c r="M65" i="2"/>
  <c r="K88" i="2"/>
  <c r="K68" i="2"/>
  <c r="K87" i="2"/>
  <c r="G65" i="2"/>
  <c r="F79" i="2"/>
  <c r="M78" i="2"/>
  <c r="M82" i="2" s="1"/>
  <c r="M17" i="2" s="1"/>
  <c r="M39" i="2" s="1"/>
  <c r="M62" i="2"/>
  <c r="I67" i="2"/>
  <c r="M87" i="2"/>
  <c r="I62" i="2"/>
  <c r="I77" i="2"/>
  <c r="L67" i="2"/>
  <c r="L72" i="2" s="1"/>
  <c r="L18" i="2" s="1"/>
  <c r="L45" i="2" s="1"/>
  <c r="E77" i="2"/>
  <c r="I88" i="2"/>
  <c r="I92" i="2" s="1"/>
  <c r="I19" i="2" s="1"/>
  <c r="I41" i="2" s="1"/>
  <c r="F87" i="2"/>
  <c r="L78" i="2"/>
  <c r="I78" i="2"/>
  <c r="H47" i="2"/>
  <c r="L48" i="2"/>
  <c r="F48" i="2"/>
  <c r="E62" i="2"/>
  <c r="E66" i="2" s="1"/>
  <c r="E87" i="2"/>
  <c r="F67" i="2"/>
  <c r="F62" i="2"/>
  <c r="F66" i="2" s="1"/>
  <c r="E78" i="2"/>
  <c r="D80" i="2"/>
  <c r="D79" i="2"/>
  <c r="D88" i="2"/>
  <c r="G48" i="2"/>
  <c r="K48" i="2"/>
  <c r="M47" i="2"/>
  <c r="I48" i="2"/>
  <c r="G47" i="2"/>
  <c r="F47" i="2"/>
  <c r="M48" i="2"/>
  <c r="K47" i="2"/>
  <c r="J47" i="2"/>
  <c r="L47" i="2"/>
  <c r="I72" i="2" l="1"/>
  <c r="I18" i="2" s="1"/>
  <c r="I45" i="2" s="1"/>
  <c r="K82" i="2"/>
  <c r="K17" i="2" s="1"/>
  <c r="K39" i="2" s="1"/>
  <c r="L92" i="2"/>
  <c r="L19" i="2" s="1"/>
  <c r="L41" i="2" s="1"/>
  <c r="H92" i="2"/>
  <c r="H19" i="2" s="1"/>
  <c r="H41" i="2" s="1"/>
  <c r="M72" i="2"/>
  <c r="M18" i="2" s="1"/>
  <c r="M45" i="2" s="1"/>
  <c r="L82" i="2"/>
  <c r="L17" i="2" s="1"/>
  <c r="L39" i="2" s="1"/>
  <c r="K35" i="2"/>
  <c r="H35" i="2"/>
  <c r="K72" i="2"/>
  <c r="K18" i="2" s="1"/>
  <c r="K45" i="2" s="1"/>
  <c r="J82" i="2"/>
  <c r="J17" i="2" s="1"/>
  <c r="J39" i="2" s="1"/>
  <c r="J43" i="2" s="1"/>
  <c r="M92" i="2"/>
  <c r="M19" i="2" s="1"/>
  <c r="M41" i="2" s="1"/>
  <c r="M43" i="2" s="1"/>
  <c r="H82" i="2"/>
  <c r="H17" i="2" s="1"/>
  <c r="H39" i="2" s="1"/>
  <c r="E76" i="2"/>
  <c r="E82" i="2" s="1"/>
  <c r="E17" i="2" s="1"/>
  <c r="E39" i="2" s="1"/>
  <c r="D78" i="2"/>
  <c r="G68" i="2"/>
  <c r="G72" i="2" s="1"/>
  <c r="G18" i="2" s="1"/>
  <c r="G45" i="2" s="1"/>
  <c r="G88" i="2"/>
  <c r="G92" i="2" s="1"/>
  <c r="G19" i="2" s="1"/>
  <c r="G41" i="2" s="1"/>
  <c r="G78" i="2"/>
  <c r="F68" i="2"/>
  <c r="F72" i="2" s="1"/>
  <c r="F18" i="2" s="1"/>
  <c r="F45" i="2" s="1"/>
  <c r="F88" i="2"/>
  <c r="F92" i="2" s="1"/>
  <c r="F19" i="2" s="1"/>
  <c r="F41" i="2" s="1"/>
  <c r="F78" i="2"/>
  <c r="E68" i="2"/>
  <c r="E72" i="2" s="1"/>
  <c r="E18" i="2" s="1"/>
  <c r="E45" i="2" s="1"/>
  <c r="E47" i="2" s="1"/>
  <c r="E88" i="2"/>
  <c r="E92" i="2" s="1"/>
  <c r="E19" i="2" s="1"/>
  <c r="E41" i="2" s="1"/>
  <c r="D68" i="2"/>
  <c r="D76" i="2"/>
  <c r="D65" i="2"/>
  <c r="D67" i="2"/>
  <c r="D87" i="2"/>
  <c r="D92" i="2" s="1"/>
  <c r="D19" i="2" s="1"/>
  <c r="D41" i="2" s="1"/>
  <c r="D77" i="2"/>
  <c r="G76" i="2"/>
  <c r="F76" i="2"/>
  <c r="I52" i="2"/>
  <c r="D75" i="2"/>
  <c r="J52" i="2"/>
  <c r="H52" i="2"/>
  <c r="K52" i="2"/>
  <c r="I82" i="2"/>
  <c r="I17" i="2" s="1"/>
  <c r="I39" i="2" s="1"/>
  <c r="I43" i="2" s="1"/>
  <c r="K92" i="2"/>
  <c r="K19" i="2" s="1"/>
  <c r="K41" i="2" s="1"/>
  <c r="L52" i="2"/>
  <c r="M52" i="2"/>
  <c r="G52" i="2"/>
  <c r="F52" i="2"/>
  <c r="K43" i="2" l="1"/>
  <c r="H43" i="2"/>
  <c r="L43" i="2"/>
  <c r="G82" i="2"/>
  <c r="G17" i="2" s="1"/>
  <c r="G39" i="2" s="1"/>
  <c r="G43" i="2" s="1"/>
  <c r="F82" i="2"/>
  <c r="F17" i="2" s="1"/>
  <c r="F39" i="2" s="1"/>
  <c r="F43" i="2" s="1"/>
  <c r="E43" i="2"/>
  <c r="E48" i="2" s="1"/>
  <c r="E52" i="2" s="1"/>
  <c r="D72" i="2"/>
  <c r="D18" i="2" s="1"/>
  <c r="D45" i="2" s="1"/>
  <c r="D47" i="2" s="1"/>
  <c r="D82" i="2"/>
  <c r="D17" i="2" s="1"/>
  <c r="D39" i="2" s="1"/>
  <c r="D43" i="2" s="1"/>
  <c r="D48" i="2" s="1"/>
  <c r="D13" i="5" l="1"/>
  <c r="D14" i="5"/>
  <c r="C13" i="5"/>
  <c r="C14" i="5"/>
  <c r="D11" i="5"/>
  <c r="D12" i="5"/>
  <c r="C11" i="5"/>
  <c r="D52" i="2"/>
  <c r="C6" i="5" s="1"/>
  <c r="I14" i="1" s="1"/>
  <c r="C12" i="5"/>
  <c r="D5" i="5" l="1"/>
  <c r="E14" i="1" s="1"/>
  <c r="C5" i="5"/>
  <c r="B1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Derek Neumann</author>
    <author>tc={A148E7D1-801B-4C26-BFE2-43228465721A}</author>
    <author>tc={8A374201-CDB5-437A-91A5-6B593BC0172C}</author>
    <author>tc={5255D2A9-2EED-4F31-9DD8-1B6FD07C5550}</author>
    <author>tc={C1EF8294-8E9B-4D91-89F3-D4918B63F1A4}</author>
    <author>tc={8A9E3DD6-C5AC-4496-894D-D8FAC5545C40}</author>
    <author>tc={6F7DF289-8C12-4DC8-84F7-B3DC59530E25}</author>
    <author>tc={06776D15-BAEA-4235-99D7-A67F75BC4840}</author>
    <author>tc={59631E93-3E6B-41BA-8349-6132FD1BF109}</author>
  </authors>
  <commentList>
    <comment ref="D4" authorId="0" shapeId="0" xr:uid="{F04358B9-C518-4FBC-8CBB-1BCF9C2AE23F}">
      <text>
        <r>
          <rPr>
            <sz val="9"/>
            <color indexed="81"/>
            <rFont val="Tahoma"/>
            <family val="2"/>
          </rPr>
          <t>Assuming EFLHh specified for Other building type</t>
        </r>
      </text>
    </comment>
    <comment ref="D5" authorId="0" shapeId="0" xr:uid="{40C858DB-C204-4DC5-9225-C1AFD580657F}">
      <text>
        <r>
          <rPr>
            <sz val="9"/>
            <color indexed="81"/>
            <rFont val="Tahoma"/>
            <family val="2"/>
          </rPr>
          <t>Assuming EFLHh specified for Other building type</t>
        </r>
      </text>
    </comment>
    <comment ref="E5" authorId="0" shapeId="0" xr:uid="{E0FB365A-E04E-4C89-9179-9E9FC972A441}">
      <text>
        <r>
          <rPr>
            <sz val="9"/>
            <color indexed="81"/>
            <rFont val="Tahoma"/>
            <family val="2"/>
          </rPr>
          <t>Assuming EFLHc value specified for Education - University building type</t>
        </r>
      </text>
    </comment>
    <comment ref="F5" authorId="0" shapeId="0" xr:uid="{EBB0565D-18EB-4F93-B4FB-0E5A7FCFBFF3}">
      <text>
        <r>
          <rPr>
            <sz val="9"/>
            <color indexed="81"/>
            <rFont val="Tahoma"/>
            <family val="2"/>
          </rPr>
          <t>Assuming EFLHc value specified for Education - University building type</t>
        </r>
      </text>
    </comment>
    <comment ref="H5" authorId="0" shapeId="0" xr:uid="{40CEFF3F-ED3B-47E8-BAC8-05710E7357EF}">
      <text>
        <r>
          <rPr>
            <sz val="9"/>
            <color indexed="81"/>
            <rFont val="Tahoma"/>
            <family val="2"/>
          </rPr>
          <t>Assuming CF value specified for Education - University building type</t>
        </r>
      </text>
    </comment>
    <comment ref="I5" authorId="0" shapeId="0" xr:uid="{BA380698-EA8C-46AD-AD90-31C8877BE576}">
      <text>
        <r>
          <rPr>
            <sz val="9"/>
            <color indexed="81"/>
            <rFont val="Tahoma"/>
            <family val="2"/>
          </rPr>
          <t>Assuming CF value specified for Education - University building type</t>
        </r>
      </text>
    </comment>
    <comment ref="D9" authorId="0" shapeId="0" xr:uid="{41719DBA-D8E1-44F2-BE32-FE1138C8D2E6}">
      <text>
        <r>
          <rPr>
            <sz val="9"/>
            <color indexed="81"/>
            <rFont val="Tahoma"/>
            <family val="2"/>
          </rPr>
          <t>Assuming EFLHh specified for Other building type</t>
        </r>
      </text>
    </comment>
    <comment ref="D10" authorId="0" shapeId="0" xr:uid="{EA9E09D2-6855-46B1-AB2C-A026296F4292}">
      <text>
        <r>
          <rPr>
            <sz val="9"/>
            <color indexed="81"/>
            <rFont val="Tahoma"/>
            <family val="2"/>
          </rPr>
          <t>Assuming EFLHh specified for Other building type</t>
        </r>
      </text>
    </comment>
    <comment ref="D11" authorId="0" shapeId="0" xr:uid="{E6C80DF3-8CCF-448F-B1E4-C2B185E423E6}">
      <text>
        <r>
          <rPr>
            <sz val="9"/>
            <color indexed="81"/>
            <rFont val="Tahoma"/>
            <family val="2"/>
          </rPr>
          <t>Assuming EFLHh specified for Other building type</t>
        </r>
      </text>
    </comment>
    <comment ref="D12" authorId="0" shapeId="0" xr:uid="{7E541A12-F771-4473-9C20-5A2286CE05A7}">
      <text>
        <r>
          <rPr>
            <sz val="9"/>
            <color indexed="81"/>
            <rFont val="Tahoma"/>
            <family val="2"/>
          </rPr>
          <t>Assuming EFLHh specified for Other building type</t>
        </r>
      </text>
    </comment>
    <comment ref="C17" authorId="0" shapeId="0" xr:uid="{F93FFD22-C11B-4592-ADE8-F7C571252796}">
      <text>
        <r>
          <rPr>
            <sz val="9"/>
            <color indexed="81"/>
            <rFont val="Tahoma"/>
            <family val="2"/>
          </rPr>
          <t>Assuming EFLHc specified for Assembly building type</t>
        </r>
      </text>
    </comment>
    <comment ref="D17" authorId="0" shapeId="0" xr:uid="{A60FF81F-D2A4-4A27-9D81-1FCA365B53E9}">
      <text>
        <r>
          <rPr>
            <sz val="9"/>
            <color indexed="81"/>
            <rFont val="Tahoma"/>
            <family val="2"/>
          </rPr>
          <t>Assuming EFLHh specified for Other building type</t>
        </r>
      </text>
    </comment>
    <comment ref="G17" authorId="0" shapeId="0" xr:uid="{B9845195-19CA-417F-A3D4-72097851EF26}">
      <text>
        <r>
          <rPr>
            <sz val="9"/>
            <color indexed="81"/>
            <rFont val="Tahoma"/>
            <family val="2"/>
          </rPr>
          <t>Assuming CF specified for Assembly building type</t>
        </r>
      </text>
    </comment>
    <comment ref="D24" authorId="0" shapeId="0" xr:uid="{9BE8B44A-5C64-4721-95F2-0B5B9941888C}">
      <text>
        <r>
          <rPr>
            <sz val="9"/>
            <color indexed="81"/>
            <rFont val="Tahoma"/>
            <family val="2"/>
          </rPr>
          <t>Assuming EFLHh specified for Other building type</t>
        </r>
      </text>
    </comment>
    <comment ref="D25" authorId="0" shapeId="0" xr:uid="{07063A72-BC45-4451-AD4C-DA10BF5FEC0B}">
      <text>
        <r>
          <rPr>
            <sz val="9"/>
            <color indexed="81"/>
            <rFont val="Tahoma"/>
            <family val="2"/>
          </rPr>
          <t>Assuming EFLHh specified for Other building type</t>
        </r>
      </text>
    </comment>
    <comment ref="C31" authorId="1" shapeId="0" xr:uid="{A148E7D1-801B-4C26-BFE2-43228465721A}">
      <text>
        <t>[Threaded comment]
Your version of Excel allows you to read this threaded comment; however, any edits to it will get removed if the file is opened in a newer version of Excel. Learn more: https://go.microsoft.com/fwlink/?linkid=870924
Comment:
    Was found by converting SEER to  EER</t>
      </text>
    </comment>
    <comment ref="F31" authorId="2" shapeId="0" xr:uid="{8A374201-CDB5-437A-91A5-6B593BC0172C}">
      <text>
        <t>[Threaded comment]
Your version of Excel allows you to read this threaded comment; however, any edits to it will get removed if the file is opened in a newer version of Excel. Learn more: https://go.microsoft.com/fwlink/?linkid=870924
Comment:
    Was found by converting SEER2 to  EER2</t>
      </text>
    </comment>
    <comment ref="C32" authorId="3" shapeId="0" xr:uid="{5255D2A9-2EED-4F31-9DD8-1B6FD07C555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Was found by converting SEER to  EER </t>
      </text>
    </comment>
    <comment ref="F32" authorId="4" shapeId="0" xr:uid="{C1EF8294-8E9B-4D91-89F3-D4918B63F1A4}">
      <text>
        <t>[Threaded comment]
Your version of Excel allows you to read this threaded comment; however, any edits to it will get removed if the file is opened in a newer version of Excel. Learn more: https://go.microsoft.com/fwlink/?linkid=870924
Comment:
    Was found by converting SEER2 to  EER2</t>
      </text>
    </comment>
    <comment ref="C41" authorId="5" shapeId="0" xr:uid="{8A9E3DD6-C5AC-4496-894D-D8FAC5545C40}">
      <text>
        <t>[Threaded comment]
Your version of Excel allows you to read this threaded comment; however, any edits to it will get removed if the file is opened in a newer version of Excel. Learn more: https://go.microsoft.com/fwlink/?linkid=870924
Comment:
    Was found by converting SEER to EER</t>
      </text>
    </comment>
    <comment ref="F41" authorId="6" shapeId="0" xr:uid="{6F7DF289-8C12-4DC8-84F7-B3DC59530E25}">
      <text>
        <t>[Threaded comment]
Your version of Excel allows you to read this threaded comment; however, any edits to it will get removed if the file is opened in a newer version of Excel. Learn more: https://go.microsoft.com/fwlink/?linkid=870924
Comment:
    Was found by converting SEER2 to  EER2</t>
      </text>
    </comment>
    <comment ref="C42" authorId="7" shapeId="0" xr:uid="{06776D15-BAEA-4235-99D7-A67F75BC4840}">
      <text>
        <t>[Threaded comment]
Your version of Excel allows you to read this threaded comment; however, any edits to it will get removed if the file is opened in a newer version of Excel. Learn more: https://go.microsoft.com/fwlink/?linkid=870924
Comment:
    Was found by converting SEER to EER</t>
      </text>
    </comment>
    <comment ref="F42" authorId="8" shapeId="0" xr:uid="{59631E93-3E6B-41BA-8349-6132FD1BF109}">
      <text>
        <t>[Threaded comment]
Your version of Excel allows you to read this threaded comment; however, any edits to it will get removed if the file is opened in a newer version of Excel. Learn more: https://go.microsoft.com/fwlink/?linkid=870924
Comment:
    Was found by converting SEER2 to  EER2</t>
      </text>
    </comment>
  </commentList>
</comments>
</file>

<file path=xl/sharedStrings.xml><?xml version="1.0" encoding="utf-8"?>
<sst xmlns="http://schemas.openxmlformats.org/spreadsheetml/2006/main" count="384" uniqueCount="177">
  <si>
    <t>Building Type</t>
  </si>
  <si>
    <t>EL PASO ELECTRIC</t>
  </si>
  <si>
    <t>New Mexico</t>
  </si>
  <si>
    <r>
      <t>EPE Customer Information</t>
    </r>
    <r>
      <rPr>
        <b/>
        <sz val="11"/>
        <color theme="3"/>
        <rFont val="Arial"/>
        <family val="2"/>
      </rPr>
      <t xml:space="preserve"> (as seen on EPE bill)</t>
    </r>
  </si>
  <si>
    <t>Company Name:</t>
  </si>
  <si>
    <t>Contact Name:</t>
  </si>
  <si>
    <t>Contact Phone:</t>
  </si>
  <si>
    <t>Contact Email:</t>
  </si>
  <si>
    <t>Service Address:</t>
  </si>
  <si>
    <t>City:</t>
  </si>
  <si>
    <t>State:</t>
  </si>
  <si>
    <t>ZIP Code:</t>
  </si>
  <si>
    <t>Peak kW Savings</t>
  </si>
  <si>
    <t>kWH Savings</t>
  </si>
  <si>
    <t>El Paso Electric Rebate</t>
  </si>
  <si>
    <r>
      <t>Payment Information</t>
    </r>
    <r>
      <rPr>
        <b/>
        <sz val="11"/>
        <color theme="3"/>
        <rFont val="Arial"/>
        <family val="2"/>
      </rPr>
      <t xml:space="preserve"> (please provide an accompanying W9 if not currently on file with EPE)</t>
    </r>
  </si>
  <si>
    <t>PLEASE NOTE: The Company Name and Taxpayer ID # on W9 must match the Company Name on Federal tax return</t>
  </si>
  <si>
    <t>Payment Address:</t>
  </si>
  <si>
    <t>License #:</t>
  </si>
  <si>
    <t>Payment Release &amp; Acknowledgement</t>
  </si>
  <si>
    <t>By signing below, I acknowledge: (1) the authorization of the incentive to the payee named above in Payment Information; (2) that the project would not have been accomplished or would have been completed with less efficient equipment except for the existence of the incentive provided by this program; (3) that the information provided by me in this application is accurate to the best of my knowledge; (4) that if contacted concerning this project, I agree to allow access to my property to inspect the equipment; (5) that EPE assumes no liability whatsoever relating to the equipment installed, its installation, or its performance.</t>
  </si>
  <si>
    <t>Applicant Signature:</t>
  </si>
  <si>
    <t>Date:</t>
  </si>
  <si>
    <t>Water Cooled
Chillers</t>
  </si>
  <si>
    <t>Air Cooled
Chillers</t>
  </si>
  <si>
    <t>Assembly</t>
  </si>
  <si>
    <t>Education - Community College</t>
  </si>
  <si>
    <t>Education - Primary School</t>
  </si>
  <si>
    <t>Education - Relocatable Classroom</t>
  </si>
  <si>
    <t>Education - Secondary School</t>
  </si>
  <si>
    <t>Education - University</t>
  </si>
  <si>
    <t>Grocery</t>
  </si>
  <si>
    <t>Health/Medical - Hospital</t>
  </si>
  <si>
    <t>Health/Medical - Nursing Home</t>
  </si>
  <si>
    <t>Manufacturing - Bio/Tech</t>
  </si>
  <si>
    <t>Manufacturing - Light Indistrial</t>
  </si>
  <si>
    <t>Restaurant - Fast-Food</t>
  </si>
  <si>
    <t>Restaurant - Sit-Down</t>
  </si>
  <si>
    <t>Retail - Small</t>
  </si>
  <si>
    <t>Retail - Large</t>
  </si>
  <si>
    <t>Storage - Conditioned</t>
  </si>
  <si>
    <t>Warehouse - Refrigerated</t>
  </si>
  <si>
    <t>AOH</t>
  </si>
  <si>
    <t>Equipment Type</t>
  </si>
  <si>
    <t>DX</t>
  </si>
  <si>
    <t>ACC</t>
  </si>
  <si>
    <t>WCC</t>
  </si>
  <si>
    <t>Capacity</t>
  </si>
  <si>
    <t>kWh Savings</t>
  </si>
  <si>
    <t>kW Savings</t>
  </si>
  <si>
    <t>Project Type</t>
  </si>
  <si>
    <t>Estimated Useful Life (EUL)</t>
  </si>
  <si>
    <t>Centrifugal</t>
  </si>
  <si>
    <t>ER kW Savings</t>
  </si>
  <si>
    <t>ROB/NC kW Savings</t>
  </si>
  <si>
    <t>Estimated Equivalent Full-Load Cooling Hours (EFLHc)</t>
  </si>
  <si>
    <t>EER</t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</si>
  <si>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63.3 tons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</si>
  <si>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5.4 tons &lt; 11.3 tons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</si>
  <si>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11.3 tons and &lt; 20 tons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</si>
  <si>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20 tons and &lt; 63.3 tons</t>
    </r>
  </si>
  <si>
    <t>Type</t>
  </si>
  <si>
    <t>IPLV</t>
  </si>
  <si>
    <t>&lt; 150 tons</t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</si>
  <si>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150 tons</t>
    </r>
  </si>
  <si>
    <t>&lt; 75 tons</t>
  </si>
  <si>
    <t>kW/ton</t>
  </si>
  <si>
    <t># of Installed Units</t>
  </si>
  <si>
    <t>Program Type</t>
  </si>
  <si>
    <r>
      <t xml:space="preserve">Existing Nameplate Part-Load Efficiency (SEER, IPLV)
</t>
    </r>
    <r>
      <rPr>
        <b/>
        <sz val="11"/>
        <color rgb="FFFF0000"/>
        <rFont val="Calibri"/>
        <family val="2"/>
        <scheme val="minor"/>
      </rPr>
      <t>Early Retirement ONLY</t>
    </r>
  </si>
  <si>
    <r>
      <t xml:space="preserve">Existing Nameplate Full-Load Efficiency (EER, kW/ton)
</t>
    </r>
    <r>
      <rPr>
        <b/>
        <sz val="11"/>
        <color rgb="FFFF0000"/>
        <rFont val="Calibri"/>
        <family val="2"/>
        <scheme val="minor"/>
      </rPr>
      <t>Early Retirement ONLY</t>
    </r>
  </si>
  <si>
    <t>SEER/IEER</t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</si>
  <si>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75 tons and &lt; 150 tons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</si>
  <si>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150 tons and &lt; 300 tons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</si>
  <si>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300 tons and &lt; 600 tons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</si>
  <si>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600 tons</t>
    </r>
  </si>
  <si>
    <t>Path A</t>
  </si>
  <si>
    <t>Path B</t>
  </si>
  <si>
    <t>Split/Unitary
EFLHc</t>
  </si>
  <si>
    <t>Split/Unitary
EFLHh</t>
  </si>
  <si>
    <t>Split/Unitary</t>
  </si>
  <si>
    <t>CF</t>
  </si>
  <si>
    <t>Religious Worship</t>
  </si>
  <si>
    <t>Retail - 24 hr</t>
  </si>
  <si>
    <t>Retail - Stand Alone</t>
  </si>
  <si>
    <t>Lodging - Hotel</t>
  </si>
  <si>
    <t>Commercial - Other</t>
  </si>
  <si>
    <t>EPE Acct/Meter #:</t>
  </si>
  <si>
    <t>Rate:</t>
  </si>
  <si>
    <t>Example: NMRT03</t>
  </si>
  <si>
    <t>HSPF/COP</t>
  </si>
  <si>
    <t>Air-Cooled Chiller</t>
  </si>
  <si>
    <t>Water-Cooled Chiller</t>
  </si>
  <si>
    <r>
      <t xml:space="preserve">Installed Part-Load Efficiency (SEER, IEER, IPLV)
</t>
    </r>
    <r>
      <rPr>
        <b/>
        <sz val="11"/>
        <color rgb="FFFF0000"/>
        <rFont val="Calibri"/>
        <family val="2"/>
        <scheme val="minor"/>
      </rPr>
      <t>From AHRI Certification</t>
    </r>
  </si>
  <si>
    <r>
      <t xml:space="preserve">Installed Full-Load Efficiency (EER, kW/ton)
</t>
    </r>
    <r>
      <rPr>
        <b/>
        <sz val="11"/>
        <color rgb="FFFF0000"/>
        <rFont val="Calibri"/>
        <family val="2"/>
        <scheme val="minor"/>
      </rPr>
      <t>From AHRI Certification</t>
    </r>
  </si>
  <si>
    <t>ER Cooling kWh Savings</t>
  </si>
  <si>
    <t>ER Heating kWh Savings</t>
  </si>
  <si>
    <t>ER Total kWh Savings</t>
  </si>
  <si>
    <t>ROB/NC Heating kWh Savings</t>
  </si>
  <si>
    <t>ROB/NC Total kWh Savings</t>
  </si>
  <si>
    <t>ROB/NC Cooling kWh Savings</t>
  </si>
  <si>
    <t>Concidence Factor (CF)</t>
  </si>
  <si>
    <r>
      <t xml:space="preserve">Existing Nameplate Heating Efficiency (HSPF, COP)
</t>
    </r>
    <r>
      <rPr>
        <b/>
        <sz val="11"/>
        <color rgb="FFFF0000"/>
        <rFont val="Calibri"/>
        <family val="2"/>
        <scheme val="minor"/>
      </rPr>
      <t>Early Retirement ONLY</t>
    </r>
  </si>
  <si>
    <r>
      <t xml:space="preserve">Installed Heating Efficiency (HSPF, COP)
</t>
    </r>
    <r>
      <rPr>
        <b/>
        <sz val="11"/>
        <color rgb="FFFF0000"/>
        <rFont val="Calibri"/>
        <family val="2"/>
        <scheme val="minor"/>
      </rPr>
      <t>From AHRI Certification</t>
    </r>
  </si>
  <si>
    <t>Remaining Useful Life (RUL)</t>
  </si>
  <si>
    <t>EUL - RUL (for ROB period)</t>
  </si>
  <si>
    <t>ROB/NC Baseline Lookup</t>
  </si>
  <si>
    <t>Part-Load Cooling</t>
  </si>
  <si>
    <t>Full-Load Cooling</t>
  </si>
  <si>
    <t>Heating</t>
  </si>
  <si>
    <t>Final</t>
  </si>
  <si>
    <t>Capacity Lookup</t>
  </si>
  <si>
    <r>
      <t xml:space="preserve">Chiller Path
</t>
    </r>
    <r>
      <rPr>
        <b/>
        <sz val="11"/>
        <color rgb="FFFF0000"/>
        <rFont val="Calibri"/>
        <family val="2"/>
        <scheme val="minor"/>
      </rPr>
      <t>(if applicable, Water-Cooled Chillers ONLY)</t>
    </r>
  </si>
  <si>
    <r>
      <t xml:space="preserve">Chiller Type
</t>
    </r>
    <r>
      <rPr>
        <b/>
        <sz val="11"/>
        <color rgb="FFFF0000"/>
        <rFont val="Calibri"/>
        <family val="2"/>
        <scheme val="minor"/>
      </rPr>
      <t>(if applicable, Chillers ONLY)</t>
    </r>
  </si>
  <si>
    <t>Office</t>
  </si>
  <si>
    <r>
      <t xml:space="preserve">ROB/NC Baseline Part-Load Baseline (SEER, IPLV)
</t>
    </r>
    <r>
      <rPr>
        <b/>
        <sz val="11"/>
        <color rgb="FFFF0000"/>
        <rFont val="Calibri"/>
        <family val="2"/>
        <scheme val="minor"/>
      </rPr>
      <t>Automatic Lookup from Factor Tables</t>
    </r>
  </si>
  <si>
    <r>
      <t xml:space="preserve">ROB/NC Baseline Full-Load Baseline (EER, kW/ton)
</t>
    </r>
    <r>
      <rPr>
        <b/>
        <sz val="11"/>
        <color rgb="FFFF0000"/>
        <rFont val="Calibri"/>
        <family val="2"/>
        <scheme val="minor"/>
      </rPr>
      <t>Automatic Lookup from Factor Tables</t>
    </r>
  </si>
  <si>
    <r>
      <t xml:space="preserve">ROB/NC Nameplate Heating Baseline (HSPF, COP)
</t>
    </r>
    <r>
      <rPr>
        <b/>
        <sz val="11"/>
        <color rgb="FFFF0000"/>
        <rFont val="Calibri"/>
        <family val="2"/>
        <scheme val="minor"/>
      </rPr>
      <t>Automatic Lookup from Factor Tables</t>
    </r>
  </si>
  <si>
    <t>Condenser Model Number</t>
  </si>
  <si>
    <r>
      <t xml:space="preserve">Cooling Capacity (Btuh)
</t>
    </r>
    <r>
      <rPr>
        <b/>
        <sz val="11"/>
        <color rgb="FFFF0000"/>
        <rFont val="Calibri"/>
        <family val="2"/>
        <scheme val="minor"/>
      </rPr>
      <t>12,000 Btuh = 1 ton</t>
    </r>
  </si>
  <si>
    <r>
      <t xml:space="preserve">Heating Capacity (Btuh)
</t>
    </r>
    <r>
      <rPr>
        <b/>
        <sz val="11"/>
        <color rgb="FFFF0000"/>
        <rFont val="Calibri"/>
        <family val="2"/>
        <scheme val="minor"/>
      </rPr>
      <t>12,000 Btuh = 1 ton</t>
    </r>
  </si>
  <si>
    <t>Savings Summary</t>
  </si>
  <si>
    <t>Claimed
Project Savings</t>
  </si>
  <si>
    <t>Total Summer
kW Savings</t>
  </si>
  <si>
    <t>Total
kWh Savings</t>
  </si>
  <si>
    <t>Rebate Amount</t>
  </si>
  <si>
    <t xml:space="preserve"> Claimed Savings by Measure</t>
  </si>
  <si>
    <t>Summer
kW Savings</t>
  </si>
  <si>
    <t>Calculator Version</t>
  </si>
  <si>
    <t>Air-Cooled Chiller Screw</t>
  </si>
  <si>
    <t>Air-Cooled Chiller Scroll</t>
  </si>
  <si>
    <t>Air-Cooled Chiller Centrifugal</t>
  </si>
  <si>
    <t>Water-Cooled Chiller Screw</t>
  </si>
  <si>
    <t>Water-Cooled Chiller Scroll</t>
  </si>
  <si>
    <t>Water-Cooled Chiller Centrifugal</t>
  </si>
  <si>
    <t>Heating Section</t>
  </si>
  <si>
    <t>IECC 2018</t>
  </si>
  <si>
    <t>Split DX Air Conditioner</t>
  </si>
  <si>
    <t>Packaged DX Air Conditioner</t>
  </si>
  <si>
    <t>Split DX Heat Pump</t>
  </si>
  <si>
    <t>Packaged DX Heat Pump</t>
  </si>
  <si>
    <t>Split &lt; 5.4 tons</t>
  </si>
  <si>
    <t>Packaged &lt; 5.4 tons</t>
  </si>
  <si>
    <t>Split &lt;5.4 tons</t>
  </si>
  <si>
    <t>Water-Cooled Chillers</t>
  </si>
  <si>
    <t>Air-Cooled Chillers</t>
  </si>
  <si>
    <t>Split/Unitary DX HP</t>
  </si>
  <si>
    <t>Split/Unitary DX AC</t>
  </si>
  <si>
    <t>Screw,
Scroll, or
Reciprocating</t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</si>
  <si>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300 tons and &lt; 400 tons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</si>
  <si>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400 tons and &lt; 600 tons</t>
    </r>
  </si>
  <si>
    <t>Estimated Equivalent Full-Load Heating Hours (EFLHh)</t>
  </si>
  <si>
    <t>Estimated Rebate Amount</t>
  </si>
  <si>
    <t>Incentive Rate ($/kW)</t>
  </si>
  <si>
    <t>Incentive Rate ($/kWh)</t>
  </si>
  <si>
    <t>Program Name</t>
  </si>
  <si>
    <t>$/kW</t>
  </si>
  <si>
    <t>$/kWh</t>
  </si>
  <si>
    <t>Permit Date (if applicable)</t>
  </si>
  <si>
    <t>Air-Cooled Chiller Reciprocating</t>
  </si>
  <si>
    <t>Water-Cooled Chiller Reciprocating</t>
  </si>
  <si>
    <t>IECC 2021</t>
  </si>
  <si>
    <t>HSPF2 /COP</t>
  </si>
  <si>
    <t>SEER2 /IEER</t>
  </si>
  <si>
    <t>Incentive Lookup</t>
  </si>
  <si>
    <t>Commercial Comprehensive/Split DX Air Conditioner</t>
  </si>
  <si>
    <t>Commercial Comprehensive/Packaged DX Air Conditioner</t>
  </si>
  <si>
    <t>Commercial Comprehensive/Split DX Heat Pump</t>
  </si>
  <si>
    <t>Commercial Comprehensive/Packaged DX Heat Pump</t>
  </si>
  <si>
    <t>Commercial Comprehensive/Air-Cooled Chiller</t>
  </si>
  <si>
    <t>Commercial Comprehensive/Water-Cooled Chiller</t>
  </si>
  <si>
    <t>SCORE Plus/Split DX Air Conditioner</t>
  </si>
  <si>
    <t>SCORE Plus/Packaged DX Air Conditioner</t>
  </si>
  <si>
    <t>SCORE Plus/Split DX Heat Pump</t>
  </si>
  <si>
    <t>SCORE Plus/Packaged DX Heat Pump</t>
  </si>
  <si>
    <t>SCORE Plus/Air-Cooled Chiller</t>
  </si>
  <si>
    <t>SCORE Plus/Water-Cooled Chiller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</si>
</sst>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41" formatCode="_(* #,##0_);_(* \(#,##0\);_(* &quot;-&quot;_);_(@_)"/>
    <numFmt numFmtId="43" formatCode="_(* #,##0.00_);_(* \(#,##0.00\);_(* &quot;-&quot;??_);_(@_)"/>
    <numFmt numFmtId="164" formatCode="&quot;$&quot;#,##0.00"/>
    <numFmt numFmtId="165" formatCode="#,##0.0"/>
    <numFmt numFmtId="166" formatCode="0.000"/>
    <numFmt numFmtId="167" formatCode=";;;"/>
    <numFmt numFmtId="168" formatCode="0.0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20"/>
      <color theme="3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u/>
      <sz val="14"/>
      <color theme="3"/>
      <name val="Arial"/>
      <family val="2"/>
    </font>
    <font>
      <b/>
      <sz val="11"/>
      <color theme="3"/>
      <name val="Arial"/>
      <family val="2"/>
    </font>
    <font>
      <sz val="1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18"/>
      <name val="Arial"/>
      <family val="2"/>
    </font>
    <font>
      <b/>
      <sz val="16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43" fontId="3" fillId="0" borderId="0" applyFont="0" applyFill="0" applyBorder="0" applyAlignment="0" applyProtection="0"/>
  </cellStyleXfs>
  <cellXfs count="147">
    <xf numFmtId="0" fontId="0" fillId="0" borderId="0" xfId="0"/>
    <xf numFmtId="0" fontId="2" fillId="2" borderId="1" xfId="0" applyFont="1" applyFill="1" applyBorder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3" fontId="0" fillId="3" borderId="2" xfId="0" applyNumberForma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left" indent="1"/>
      <protection locked="0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7" fillId="3" borderId="0" xfId="0" quotePrefix="1" applyFont="1" applyFill="1" applyAlignment="1">
      <alignment horizontal="left" vertical="center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 vertical="center" indent="1"/>
    </xf>
    <xf numFmtId="0" fontId="10" fillId="2" borderId="0" xfId="0" applyFont="1" applyFill="1" applyAlignment="1">
      <alignment horizontal="right" vertical="center" indent="1"/>
    </xf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indent="1"/>
    </xf>
    <xf numFmtId="0" fontId="13" fillId="2" borderId="1" xfId="0" applyFont="1" applyFill="1" applyBorder="1" applyAlignment="1">
      <alignment horizontal="left" indent="1"/>
    </xf>
    <xf numFmtId="0" fontId="2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right" vertical="center" indent="1"/>
    </xf>
    <xf numFmtId="0" fontId="9" fillId="2" borderId="1" xfId="0" applyFont="1" applyFill="1" applyBorder="1" applyAlignment="1">
      <alignment horizontal="left" vertical="center" indent="1"/>
    </xf>
    <xf numFmtId="0" fontId="9" fillId="2" borderId="0" xfId="0" applyFont="1" applyFill="1" applyAlignment="1">
      <alignment horizontal="left" vertical="center" indent="1"/>
    </xf>
    <xf numFmtId="0" fontId="13" fillId="2" borderId="0" xfId="0" applyFont="1" applyFill="1" applyAlignment="1">
      <alignment vertical="center"/>
    </xf>
    <xf numFmtId="166" fontId="0" fillId="3" borderId="2" xfId="0" applyNumberFormat="1" applyFill="1" applyBorder="1" applyAlignment="1" applyProtection="1">
      <alignment horizontal="center" vertical="center"/>
      <protection locked="0"/>
    </xf>
    <xf numFmtId="0" fontId="0" fillId="3" borderId="0" xfId="0" applyFill="1" applyAlignment="1">
      <alignment vertical="center"/>
    </xf>
    <xf numFmtId="0" fontId="1" fillId="3" borderId="0" xfId="0" applyFont="1" applyFill="1" applyAlignment="1">
      <alignment vertical="center"/>
    </xf>
    <xf numFmtId="167" fontId="3" fillId="2" borderId="0" xfId="1" applyNumberFormat="1" applyFill="1" applyAlignment="1">
      <alignment vertical="center"/>
    </xf>
    <xf numFmtId="0" fontId="3" fillId="2" borderId="0" xfId="1" applyFill="1" applyAlignment="1">
      <alignment vertical="center"/>
    </xf>
    <xf numFmtId="43" fontId="23" fillId="9" borderId="13" xfId="2" applyFont="1" applyFill="1" applyBorder="1" applyAlignment="1" applyProtection="1">
      <alignment horizontal="center" vertical="center" wrapText="1"/>
    </xf>
    <xf numFmtId="43" fontId="23" fillId="9" borderId="14" xfId="2" applyFont="1" applyFill="1" applyBorder="1" applyAlignment="1" applyProtection="1">
      <alignment horizontal="center" vertical="center" wrapText="1"/>
    </xf>
    <xf numFmtId="0" fontId="22" fillId="8" borderId="18" xfId="1" applyFont="1" applyFill="1" applyBorder="1" applyAlignment="1">
      <alignment horizontal="center" vertical="center" wrapText="1"/>
    </xf>
    <xf numFmtId="0" fontId="24" fillId="8" borderId="25" xfId="1" applyFont="1" applyFill="1" applyBorder="1" applyAlignment="1">
      <alignment horizontal="center" vertical="center" wrapText="1"/>
    </xf>
    <xf numFmtId="0" fontId="24" fillId="8" borderId="26" xfId="1" applyFont="1" applyFill="1" applyBorder="1" applyAlignment="1">
      <alignment horizontal="center" vertical="center" wrapText="1"/>
    </xf>
    <xf numFmtId="0" fontId="25" fillId="8" borderId="12" xfId="1" applyFont="1" applyFill="1" applyBorder="1" applyAlignment="1">
      <alignment horizontal="left" vertical="center" wrapText="1" indent="1"/>
    </xf>
    <xf numFmtId="0" fontId="25" fillId="8" borderId="29" xfId="1" applyFont="1" applyFill="1" applyBorder="1" applyAlignment="1">
      <alignment horizontal="left" vertical="center" wrapText="1" indent="1"/>
    </xf>
    <xf numFmtId="0" fontId="25" fillId="8" borderId="31" xfId="1" applyFont="1" applyFill="1" applyBorder="1" applyAlignment="1">
      <alignment horizontal="left" vertical="center" wrapText="1" indent="1"/>
    </xf>
    <xf numFmtId="0" fontId="25" fillId="8" borderId="18" xfId="1" applyFont="1" applyFill="1" applyBorder="1" applyAlignment="1">
      <alignment horizontal="left" vertical="center" wrapText="1" indent="1"/>
    </xf>
    <xf numFmtId="0" fontId="25" fillId="8" borderId="34" xfId="1" applyFont="1" applyFill="1" applyBorder="1" applyAlignment="1">
      <alignment horizontal="left" vertical="center" wrapText="1" indent="1"/>
    </xf>
    <xf numFmtId="0" fontId="3" fillId="0" borderId="0" xfId="1" applyAlignment="1">
      <alignment vertical="center"/>
    </xf>
    <xf numFmtId="0" fontId="0" fillId="3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3" borderId="0" xfId="0" applyFont="1" applyFill="1" applyAlignment="1">
      <alignment vertical="center" wrapText="1"/>
    </xf>
    <xf numFmtId="166" fontId="0" fillId="3" borderId="0" xfId="0" applyNumberFormat="1" applyFill="1" applyAlignment="1">
      <alignment vertical="center"/>
    </xf>
    <xf numFmtId="166" fontId="1" fillId="3" borderId="0" xfId="0" applyNumberFormat="1" applyFont="1" applyFill="1" applyAlignment="1">
      <alignment vertical="center" wrapText="1"/>
    </xf>
    <xf numFmtId="166" fontId="0" fillId="3" borderId="2" xfId="0" applyNumberFormat="1" applyFill="1" applyBorder="1" applyAlignment="1">
      <alignment horizontal="center" vertical="center"/>
    </xf>
    <xf numFmtId="3" fontId="0" fillId="5" borderId="2" xfId="0" applyNumberFormat="1" applyFill="1" applyBorder="1" applyAlignment="1">
      <alignment horizontal="center" vertical="center"/>
    </xf>
    <xf numFmtId="2" fontId="0" fillId="3" borderId="0" xfId="0" applyNumberFormat="1" applyFill="1" applyAlignment="1">
      <alignment vertical="center"/>
    </xf>
    <xf numFmtId="2" fontId="1" fillId="3" borderId="0" xfId="0" applyNumberFormat="1" applyFont="1" applyFill="1" applyAlignment="1">
      <alignment vertical="center"/>
    </xf>
    <xf numFmtId="4" fontId="0" fillId="5" borderId="2" xfId="0" applyNumberFormat="1" applyFill="1" applyBorder="1" applyAlignment="1">
      <alignment horizontal="center" vertical="center"/>
    </xf>
    <xf numFmtId="0" fontId="19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19" fillId="3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right" vertical="center" indent="1"/>
    </xf>
    <xf numFmtId="1" fontId="19" fillId="3" borderId="2" xfId="0" applyNumberFormat="1" applyFont="1" applyFill="1" applyBorder="1" applyAlignment="1">
      <alignment horizontal="center" vertical="center"/>
    </xf>
    <xf numFmtId="1" fontId="16" fillId="3" borderId="2" xfId="0" applyNumberFormat="1" applyFont="1" applyFill="1" applyBorder="1" applyAlignment="1">
      <alignment horizontal="center" vertical="center"/>
    </xf>
    <xf numFmtId="166" fontId="19" fillId="3" borderId="2" xfId="0" applyNumberFormat="1" applyFont="1" applyFill="1" applyBorder="1" applyAlignment="1">
      <alignment horizontal="center" vertical="center"/>
    </xf>
    <xf numFmtId="166" fontId="16" fillId="3" borderId="2" xfId="0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vertical="center"/>
    </xf>
    <xf numFmtId="43" fontId="0" fillId="5" borderId="2" xfId="0" applyNumberFormat="1" applyFill="1" applyBorder="1" applyAlignment="1">
      <alignment horizontal="center" vertical="center"/>
    </xf>
    <xf numFmtId="41" fontId="0" fillId="5" borderId="2" xfId="0" applyNumberFormat="1" applyFill="1" applyBorder="1" applyAlignment="1">
      <alignment horizontal="center" vertical="center"/>
    </xf>
    <xf numFmtId="41" fontId="17" fillId="5" borderId="2" xfId="0" applyNumberFormat="1" applyFont="1" applyFill="1" applyBorder="1" applyAlignment="1">
      <alignment horizontal="center" vertical="center"/>
    </xf>
    <xf numFmtId="43" fontId="17" fillId="5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66" fontId="0" fillId="3" borderId="0" xfId="0" applyNumberFormat="1" applyFill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166" fontId="19" fillId="3" borderId="0" xfId="0" applyNumberFormat="1" applyFont="1" applyFill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168" fontId="3" fillId="0" borderId="34" xfId="1" applyNumberFormat="1" applyBorder="1" applyAlignment="1">
      <alignment horizontal="center" vertical="center"/>
    </xf>
    <xf numFmtId="7" fontId="1" fillId="7" borderId="2" xfId="0" applyNumberFormat="1" applyFont="1" applyFill="1" applyBorder="1" applyAlignment="1" applyProtection="1">
      <alignment horizontal="center" vertical="center"/>
      <protection hidden="1"/>
    </xf>
    <xf numFmtId="3" fontId="1" fillId="6" borderId="2" xfId="0" applyNumberFormat="1" applyFont="1" applyFill="1" applyBorder="1" applyAlignment="1" applyProtection="1">
      <alignment horizontal="center" vertical="center"/>
      <protection hidden="1"/>
    </xf>
    <xf numFmtId="4" fontId="1" fillId="6" borderId="2" xfId="0" applyNumberFormat="1" applyFont="1" applyFill="1" applyBorder="1" applyAlignment="1" applyProtection="1">
      <alignment horizontal="center" vertical="center"/>
      <protection hidden="1"/>
    </xf>
    <xf numFmtId="3" fontId="0" fillId="5" borderId="2" xfId="0" applyNumberFormat="1" applyFill="1" applyBorder="1" applyAlignment="1" applyProtection="1">
      <alignment horizontal="center" vertical="center"/>
      <protection hidden="1"/>
    </xf>
    <xf numFmtId="2" fontId="0" fillId="5" borderId="2" xfId="0" applyNumberFormat="1" applyFill="1" applyBorder="1" applyAlignment="1" applyProtection="1">
      <alignment horizontal="center" vertical="center"/>
      <protection hidden="1"/>
    </xf>
    <xf numFmtId="165" fontId="0" fillId="5" borderId="2" xfId="0" applyNumberFormat="1" applyFill="1" applyBorder="1" applyAlignment="1" applyProtection="1">
      <alignment horizontal="center" vertical="center"/>
      <protection hidden="1"/>
    </xf>
    <xf numFmtId="166" fontId="0" fillId="5" borderId="2" xfId="0" applyNumberFormat="1" applyFill="1" applyBorder="1" applyAlignment="1" applyProtection="1">
      <alignment horizontal="center" vertical="center"/>
      <protection hidden="1"/>
    </xf>
    <xf numFmtId="168" fontId="0" fillId="5" borderId="2" xfId="0" applyNumberFormat="1" applyFill="1" applyBorder="1" applyAlignment="1">
      <alignment horizontal="center" vertical="center"/>
    </xf>
    <xf numFmtId="0" fontId="27" fillId="3" borderId="0" xfId="0" applyFont="1" applyFill="1" applyAlignment="1">
      <alignment horizontal="left" vertical="center"/>
    </xf>
    <xf numFmtId="0" fontId="26" fillId="4" borderId="3" xfId="0" applyFont="1" applyFill="1" applyBorder="1" applyAlignment="1">
      <alignment horizontal="center" vertical="center" wrapText="1"/>
    </xf>
    <xf numFmtId="0" fontId="26" fillId="4" borderId="2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/>
    </xf>
    <xf numFmtId="0" fontId="26" fillId="4" borderId="2" xfId="0" applyFont="1" applyFill="1" applyBorder="1" applyAlignment="1">
      <alignment horizontal="center" vertical="center"/>
    </xf>
    <xf numFmtId="7" fontId="0" fillId="5" borderId="2" xfId="0" applyNumberFormat="1" applyFill="1" applyBorder="1" applyAlignment="1" applyProtection="1">
      <alignment horizontal="center" vertical="center"/>
      <protection hidden="1"/>
    </xf>
    <xf numFmtId="0" fontId="25" fillId="8" borderId="36" xfId="1" applyFont="1" applyFill="1" applyBorder="1" applyAlignment="1">
      <alignment horizontal="left" vertical="center" wrapText="1" indent="1"/>
    </xf>
    <xf numFmtId="43" fontId="3" fillId="2" borderId="16" xfId="1" applyNumberFormat="1" applyFill="1" applyBorder="1" applyAlignment="1" applyProtection="1">
      <alignment horizontal="center" vertical="center" wrapText="1"/>
      <protection hidden="1"/>
    </xf>
    <xf numFmtId="41" fontId="3" fillId="2" borderId="17" xfId="1" applyNumberFormat="1" applyFill="1" applyBorder="1" applyAlignment="1" applyProtection="1">
      <alignment horizontal="center" vertical="center" wrapText="1"/>
      <protection hidden="1"/>
    </xf>
    <xf numFmtId="43" fontId="3" fillId="0" borderId="27" xfId="1" applyNumberFormat="1" applyBorder="1" applyAlignment="1" applyProtection="1">
      <alignment horizontal="center" vertical="center"/>
      <protection hidden="1"/>
    </xf>
    <xf numFmtId="41" fontId="3" fillId="0" borderId="28" xfId="1" applyNumberFormat="1" applyBorder="1" applyAlignment="1" applyProtection="1">
      <alignment horizontal="center" vertical="center"/>
      <protection hidden="1"/>
    </xf>
    <xf numFmtId="43" fontId="3" fillId="0" borderId="30" xfId="1" applyNumberFormat="1" applyBorder="1" applyAlignment="1" applyProtection="1">
      <alignment horizontal="center" vertical="center"/>
      <protection hidden="1"/>
    </xf>
    <xf numFmtId="41" fontId="3" fillId="0" borderId="17" xfId="1" applyNumberFormat="1" applyBorder="1" applyAlignment="1" applyProtection="1">
      <alignment horizontal="center" vertical="center"/>
      <protection hidden="1"/>
    </xf>
    <xf numFmtId="43" fontId="3" fillId="0" borderId="37" xfId="1" applyNumberFormat="1" applyBorder="1" applyAlignment="1" applyProtection="1">
      <alignment horizontal="center" vertical="center"/>
      <protection hidden="1"/>
    </xf>
    <xf numFmtId="41" fontId="3" fillId="0" borderId="38" xfId="1" applyNumberFormat="1" applyBorder="1" applyAlignment="1" applyProtection="1">
      <alignment horizontal="center" vertical="center"/>
      <protection hidden="1"/>
    </xf>
    <xf numFmtId="43" fontId="3" fillId="0" borderId="25" xfId="1" applyNumberFormat="1" applyBorder="1" applyAlignment="1" applyProtection="1">
      <alignment horizontal="center" vertical="center"/>
      <protection hidden="1"/>
    </xf>
    <xf numFmtId="41" fontId="3" fillId="0" borderId="26" xfId="1" applyNumberFormat="1" applyBorder="1" applyAlignment="1" applyProtection="1">
      <alignment horizontal="center" vertical="center"/>
      <protection hidden="1"/>
    </xf>
    <xf numFmtId="43" fontId="3" fillId="0" borderId="32" xfId="1" applyNumberFormat="1" applyBorder="1" applyAlignment="1" applyProtection="1">
      <alignment horizontal="center" vertical="center"/>
      <protection hidden="1"/>
    </xf>
    <xf numFmtId="41" fontId="3" fillId="3" borderId="33" xfId="1" applyNumberFormat="1" applyFill="1" applyBorder="1" applyAlignment="1" applyProtection="1">
      <alignment horizontal="center" vertical="center"/>
      <protection hidden="1"/>
    </xf>
    <xf numFmtId="166" fontId="0" fillId="0" borderId="2" xfId="0" applyNumberFormat="1" applyBorder="1" applyAlignment="1">
      <alignment horizontal="center" vertical="center"/>
    </xf>
    <xf numFmtId="168" fontId="0" fillId="0" borderId="2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41" fontId="17" fillId="0" borderId="2" xfId="0" applyNumberFormat="1" applyFon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43" fontId="17" fillId="0" borderId="2" xfId="0" applyNumberFormat="1" applyFont="1" applyBorder="1" applyAlignment="1">
      <alignment horizontal="center" vertical="center"/>
    </xf>
    <xf numFmtId="43" fontId="0" fillId="0" borderId="2" xfId="0" applyNumberFormat="1" applyBorder="1" applyAlignment="1">
      <alignment horizontal="center" vertical="center"/>
    </xf>
    <xf numFmtId="0" fontId="28" fillId="10" borderId="2" xfId="0" applyFont="1" applyFill="1" applyBorder="1" applyAlignment="1">
      <alignment vertical="center"/>
    </xf>
    <xf numFmtId="0" fontId="28" fillId="10" borderId="2" xfId="0" applyFont="1" applyFill="1" applyBorder="1" applyAlignment="1">
      <alignment horizontal="center" vertical="center"/>
    </xf>
    <xf numFmtId="0" fontId="29" fillId="3" borderId="0" xfId="0" applyFont="1" applyFill="1" applyAlignment="1">
      <alignment horizontal="right" vertical="center" indent="1"/>
    </xf>
    <xf numFmtId="2" fontId="0" fillId="3" borderId="2" xfId="0" applyNumberFormat="1" applyFill="1" applyBorder="1" applyAlignment="1">
      <alignment horizontal="center" vertical="center"/>
    </xf>
    <xf numFmtId="0" fontId="13" fillId="2" borderId="1" xfId="0" applyFont="1" applyFill="1" applyBorder="1" applyAlignment="1" applyProtection="1">
      <alignment horizontal="left" indent="1"/>
      <protection locked="0"/>
    </xf>
    <xf numFmtId="4" fontId="15" fillId="2" borderId="2" xfId="0" applyNumberFormat="1" applyFont="1" applyFill="1" applyBorder="1" applyAlignment="1" applyProtection="1">
      <alignment horizontal="center" vertical="center"/>
      <protection hidden="1"/>
    </xf>
    <xf numFmtId="3" fontId="8" fillId="2" borderId="2" xfId="0" applyNumberFormat="1" applyFont="1" applyFill="1" applyBorder="1" applyAlignment="1" applyProtection="1">
      <alignment horizontal="center" vertical="center"/>
      <protection hidden="1"/>
    </xf>
    <xf numFmtId="164" fontId="8" fillId="3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>
      <alignment horizontal="left" vertical="center" wrapText="1"/>
    </xf>
    <xf numFmtId="0" fontId="1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 applyProtection="1">
      <alignment horizontal="center" vertical="center"/>
      <protection hidden="1"/>
    </xf>
    <xf numFmtId="0" fontId="13" fillId="2" borderId="8" xfId="0" applyFont="1" applyFill="1" applyBorder="1" applyAlignment="1" applyProtection="1">
      <alignment horizontal="left" indent="1"/>
      <protection locked="0"/>
    </xf>
    <xf numFmtId="0" fontId="21" fillId="8" borderId="9" xfId="1" applyFont="1" applyFill="1" applyBorder="1" applyAlignment="1">
      <alignment horizontal="left" vertical="center" indent="1"/>
    </xf>
    <xf numFmtId="0" fontId="21" fillId="8" borderId="10" xfId="1" applyFont="1" applyFill="1" applyBorder="1" applyAlignment="1">
      <alignment horizontal="left" vertical="center" indent="1"/>
    </xf>
    <xf numFmtId="0" fontId="21" fillId="8" borderId="11" xfId="1" applyFont="1" applyFill="1" applyBorder="1" applyAlignment="1">
      <alignment horizontal="left" vertical="center" indent="1"/>
    </xf>
    <xf numFmtId="0" fontId="22" fillId="8" borderId="12" xfId="1" applyFont="1" applyFill="1" applyBorder="1" applyAlignment="1">
      <alignment horizontal="center" vertical="center" wrapText="1"/>
    </xf>
    <xf numFmtId="0" fontId="22" fillId="8" borderId="15" xfId="1" applyFont="1" applyFill="1" applyBorder="1" applyAlignment="1">
      <alignment horizontal="center" vertical="center" wrapText="1"/>
    </xf>
    <xf numFmtId="7" fontId="3" fillId="2" borderId="19" xfId="1" applyNumberFormat="1" applyFill="1" applyBorder="1" applyAlignment="1" applyProtection="1">
      <alignment horizontal="center" vertical="center" wrapText="1"/>
      <protection hidden="1"/>
    </xf>
    <xf numFmtId="7" fontId="3" fillId="2" borderId="20" xfId="1" applyNumberFormat="1" applyFill="1" applyBorder="1" applyAlignment="1" applyProtection="1">
      <alignment horizontal="center" vertical="center" wrapText="1"/>
      <protection hidden="1"/>
    </xf>
    <xf numFmtId="0" fontId="24" fillId="8" borderId="21" xfId="1" applyFont="1" applyFill="1" applyBorder="1" applyAlignment="1">
      <alignment horizontal="center" vertical="center"/>
    </xf>
    <xf numFmtId="0" fontId="24" fillId="8" borderId="22" xfId="1" applyFont="1" applyFill="1" applyBorder="1" applyAlignment="1">
      <alignment horizontal="center" vertical="center"/>
    </xf>
    <xf numFmtId="0" fontId="24" fillId="8" borderId="23" xfId="1" applyFont="1" applyFill="1" applyBorder="1" applyAlignment="1">
      <alignment horizontal="center" vertical="center"/>
    </xf>
    <xf numFmtId="0" fontId="24" fillId="8" borderId="24" xfId="1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center" vertical="center"/>
    </xf>
    <xf numFmtId="0" fontId="19" fillId="3" borderId="4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0" fontId="26" fillId="4" borderId="2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26" fillId="4" borderId="35" xfId="0" applyFont="1" applyFill="1" applyBorder="1" applyAlignment="1">
      <alignment horizontal="center" vertical="center"/>
    </xf>
    <xf numFmtId="0" fontId="26" fillId="4" borderId="7" xfId="0" applyFont="1" applyFill="1" applyBorder="1" applyAlignment="1">
      <alignment horizontal="center" vertical="center"/>
    </xf>
    <xf numFmtId="0" fontId="26" fillId="4" borderId="6" xfId="0" applyFont="1" applyFill="1" applyBorder="1" applyAlignment="1">
      <alignment horizontal="center" vertical="center"/>
    </xf>
  </cellXfs>
  <cellStyles count="3">
    <cellStyle name="Comma 2" xfId="2" xr:uid="{EB353D2D-8C61-4708-ADE0-F494638E1F02}"/>
    <cellStyle name="Normal" xfId="0" builtinId="0"/>
    <cellStyle name="Normal 2 2" xfId="1" xr:uid="{A0385C4F-73D5-4FD8-90D9-7CDD6B739412}"/>
  </cellStyles>
  <dxfs count="6">
    <dxf>
      <fill>
        <patternFill>
          <bgColor theme="0" tint="-0.24994659260841701"/>
        </patternFill>
      </fill>
    </dxf>
    <dxf>
      <font>
        <strike val="0"/>
      </font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strike val="0"/>
      </font>
      <fill>
        <patternFill>
          <bgColor theme="0" tint="-0.24994659260841701"/>
        </patternFill>
      </fill>
    </dxf>
    <dxf>
      <font>
        <strike val="0"/>
      </font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</xdr:colOff>
      <xdr:row>0</xdr:row>
      <xdr:rowOff>0</xdr:rowOff>
    </xdr:from>
    <xdr:to>
      <xdr:col>2</xdr:col>
      <xdr:colOff>507206</xdr:colOff>
      <xdr:row>4</xdr:row>
      <xdr:rowOff>71438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356" y="0"/>
          <a:ext cx="1428750" cy="1123950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619125</xdr:colOff>
      <xdr:row>2</xdr:row>
      <xdr:rowOff>285750</xdr:rowOff>
    </xdr:to>
    <xdr:pic>
      <xdr:nvPicPr>
        <xdr:cNvPr id="3" name="Picture 2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0400" y="123825"/>
          <a:ext cx="1190625" cy="788194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609600</xdr:colOff>
      <xdr:row>2</xdr:row>
      <xdr:rowOff>285750</xdr:rowOff>
    </xdr:to>
    <xdr:pic>
      <xdr:nvPicPr>
        <xdr:cNvPr id="4" name="Picture 3" hidden="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0400" y="123825"/>
          <a:ext cx="1181100" cy="788194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10</xdr:col>
      <xdr:colOff>15796</xdr:colOff>
      <xdr:row>1</xdr:row>
      <xdr:rowOff>1</xdr:rowOff>
    </xdr:from>
    <xdr:to>
      <xdr:col>10</xdr:col>
      <xdr:colOff>1157292</xdr:colOff>
      <xdr:row>2</xdr:row>
      <xdr:rowOff>297657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48DD222-D969-4BF0-ABB4-1AEC750DB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6671" y="119064"/>
          <a:ext cx="1141496" cy="797718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rek/Desktop/LSF/EPELSF_1000rows_v2015.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Project Info"/>
      <sheetName val="Inventory"/>
      <sheetName val="Fixture Cheat Sheet"/>
      <sheetName val="Fixture Descriptions"/>
      <sheetName val="Custom Fixtures"/>
      <sheetName val="Exempt Fixtures"/>
      <sheetName val="Factor Tables"/>
      <sheetName val="Invoice"/>
      <sheetName val="EEA"/>
      <sheetName val="Custom Bldg"/>
      <sheetName val="Utility Admin"/>
      <sheetName val="Summary"/>
      <sheetName val="Reader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>
        <row r="85">
          <cell r="B85" t="str">
            <v>Automotive Facility</v>
          </cell>
        </row>
        <row r="86">
          <cell r="B86" t="str">
            <v>Convention Center</v>
          </cell>
        </row>
        <row r="87">
          <cell r="B87" t="str">
            <v>Courthouse</v>
          </cell>
        </row>
        <row r="88">
          <cell r="B88" t="str">
            <v>Dining: Bar/Lounge/Leisure</v>
          </cell>
        </row>
        <row r="89">
          <cell r="B89" t="str">
            <v>Dining: Cafeteria</v>
          </cell>
        </row>
        <row r="90">
          <cell r="B90" t="str">
            <v>Dining: Family</v>
          </cell>
        </row>
        <row r="91">
          <cell r="B91" t="str">
            <v>Dormitory</v>
          </cell>
        </row>
        <row r="92">
          <cell r="B92" t="str">
            <v>Exercise Center</v>
          </cell>
        </row>
        <row r="93">
          <cell r="B93" t="str">
            <v>Gymnasium</v>
          </cell>
        </row>
        <row r="94">
          <cell r="B94" t="str">
            <v>Health Care - Clinic</v>
          </cell>
        </row>
        <row r="95">
          <cell r="B95" t="str">
            <v>Hospital</v>
          </cell>
        </row>
        <row r="96">
          <cell r="B96" t="str">
            <v>Hotel</v>
          </cell>
        </row>
        <row r="97">
          <cell r="B97" t="str">
            <v>Library</v>
          </cell>
        </row>
        <row r="98">
          <cell r="B98" t="str">
            <v>Manufacturing</v>
          </cell>
        </row>
        <row r="99">
          <cell r="B99" t="str">
            <v>Motel</v>
          </cell>
        </row>
        <row r="100">
          <cell r="B100" t="str">
            <v>Motion Picture</v>
          </cell>
        </row>
        <row r="101">
          <cell r="B101" t="str">
            <v>Multi-Family</v>
          </cell>
        </row>
        <row r="102">
          <cell r="B102" t="str">
            <v>Museum</v>
          </cell>
        </row>
        <row r="103">
          <cell r="B103" t="str">
            <v>Office</v>
          </cell>
        </row>
        <row r="104">
          <cell r="B104" t="str">
            <v>Outdoor - Uncovered Parking/Drives: Zone 3*</v>
          </cell>
        </row>
        <row r="105">
          <cell r="B105" t="str">
            <v>Outdoor - Uncovered Parking/Drives: Zone 4*</v>
          </cell>
        </row>
        <row r="106">
          <cell r="B106" t="str">
            <v>Parking Garage</v>
          </cell>
        </row>
        <row r="107">
          <cell r="B107" t="str">
            <v>Penitentiary</v>
          </cell>
        </row>
        <row r="108">
          <cell r="B108" t="str">
            <v>Performing Arts</v>
          </cell>
        </row>
        <row r="109">
          <cell r="B109" t="str">
            <v>Police/Fire Stations</v>
          </cell>
        </row>
        <row r="110">
          <cell r="B110" t="str">
            <v>Post Office</v>
          </cell>
        </row>
        <row r="111">
          <cell r="B111" t="str">
            <v>Religious Buildings</v>
          </cell>
        </row>
        <row r="112">
          <cell r="B112" t="str">
            <v>Retail</v>
          </cell>
        </row>
        <row r="113">
          <cell r="B113" t="str">
            <v>School/University</v>
          </cell>
        </row>
        <row r="114">
          <cell r="B114" t="str">
            <v>Sports Arena</v>
          </cell>
        </row>
        <row r="115">
          <cell r="B115" t="str">
            <v>Town Hall</v>
          </cell>
        </row>
        <row r="116">
          <cell r="B116" t="str">
            <v>Transportation</v>
          </cell>
        </row>
        <row r="117">
          <cell r="B117" t="str">
            <v>Warehouse</v>
          </cell>
        </row>
        <row r="118">
          <cell r="B118" t="str">
            <v>Workshop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Christopher Stanaland" id="{DC831929-B233-46D9-8812-BF252A7F172E}" userId="S::cstanaland@frontierenergy.com::b9296c87-2292-4dd4-9cb5-8d0ad67f2e38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31" dT="2025-02-06T21:45:29.45" personId="{DC831929-B233-46D9-8812-BF252A7F172E}" id="{A148E7D1-801B-4C26-BFE2-43228465721A}">
    <text>Was found by converting SEER to  EER</text>
  </threadedComment>
  <threadedComment ref="F31" dT="2025-02-06T21:17:30.10" personId="{DC831929-B233-46D9-8812-BF252A7F172E}" id="{8A374201-CDB5-437A-91A5-6B593BC0172C}">
    <text>Was found by converting SEER2 to  EER2</text>
  </threadedComment>
  <threadedComment ref="C32" dT="2025-02-06T21:45:34.61" personId="{DC831929-B233-46D9-8812-BF252A7F172E}" id="{5255D2A9-2EED-4F31-9DD8-1B6FD07C5550}">
    <text xml:space="preserve">Was found by converting SEER to  EER </text>
  </threadedComment>
  <threadedComment ref="F32" dT="2025-02-06T21:17:26.87" personId="{DC831929-B233-46D9-8812-BF252A7F172E}" id="{C1EF8294-8E9B-4D91-89F3-D4918B63F1A4}">
    <text>Was found by converting SEER2 to  EER2</text>
  </threadedComment>
  <threadedComment ref="C41" dT="2025-02-06T21:45:39.35" personId="{DC831929-B233-46D9-8812-BF252A7F172E}" id="{8A9E3DD6-C5AC-4496-894D-D8FAC5545C40}">
    <text>Was found by converting SEER to EER</text>
  </threadedComment>
  <threadedComment ref="F41" dT="2025-02-06T20:59:28.84" personId="{DC831929-B233-46D9-8812-BF252A7F172E}" id="{6F7DF289-8C12-4DC8-84F7-B3DC59530E25}">
    <text>Was found by converting SEER2 to  EER2</text>
  </threadedComment>
  <threadedComment ref="C42" dT="2025-02-06T21:45:49.34" personId="{DC831929-B233-46D9-8812-BF252A7F172E}" id="{06776D15-BAEA-4235-99D7-A67F75BC4840}">
    <text>Was found by converting SEER to EER</text>
  </threadedComment>
  <threadedComment ref="F42" dT="2025-02-06T20:59:33.64" personId="{DC831929-B233-46D9-8812-BF252A7F172E}" id="{59631E93-3E6B-41BA-8349-6132FD1BF109}">
    <text>Was found by converting SEER2 to  EER2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8"/>
  <sheetViews>
    <sheetView tabSelected="1" zoomScale="80" zoomScaleNormal="80" workbookViewId="0">
      <selection activeCell="D2" sqref="D2:J2"/>
    </sheetView>
  </sheetViews>
  <sheetFormatPr defaultColWidth="9.140625" defaultRowHeight="14.25" x14ac:dyDescent="0.25"/>
  <cols>
    <col min="1" max="1" width="2.7109375" style="6" customWidth="1"/>
    <col min="2" max="7" width="10.7109375" style="6" customWidth="1"/>
    <col min="8" max="8" width="2.7109375" style="6" customWidth="1"/>
    <col min="9" max="11" width="17.7109375" style="6" customWidth="1"/>
    <col min="12" max="12" width="2.7109375" style="6" customWidth="1"/>
    <col min="13" max="16384" width="9.140625" style="5"/>
  </cols>
  <sheetData>
    <row r="1" spans="1:12" ht="9.9499999999999993" customHeight="1" x14ac:dyDescent="0.25">
      <c r="A1" s="5"/>
    </row>
    <row r="2" spans="1:12" ht="39.950000000000003" customHeight="1" x14ac:dyDescent="0.25">
      <c r="A2" s="5"/>
      <c r="B2" s="7"/>
      <c r="C2" s="8"/>
      <c r="D2" s="117" t="s">
        <v>1</v>
      </c>
      <c r="E2" s="117"/>
      <c r="F2" s="117"/>
      <c r="G2" s="117"/>
      <c r="H2" s="117"/>
      <c r="I2" s="117"/>
      <c r="J2" s="117"/>
      <c r="K2" s="9"/>
      <c r="L2" s="10"/>
    </row>
    <row r="3" spans="1:12" ht="24.95" customHeight="1" x14ac:dyDescent="0.25">
      <c r="A3" s="5"/>
      <c r="B3" s="8"/>
      <c r="C3" s="11"/>
      <c r="D3" s="118" t="str">
        <f>CONCATENATE(LEFT(Summary!$C$24,4)," Commercial HVAC Calculator")</f>
        <v>2026 Commercial HVAC Calculator</v>
      </c>
      <c r="E3" s="118"/>
      <c r="F3" s="118"/>
      <c r="G3" s="118"/>
      <c r="H3" s="118"/>
      <c r="I3" s="118"/>
      <c r="J3" s="118"/>
      <c r="K3" s="8"/>
      <c r="L3" s="10"/>
    </row>
    <row r="4" spans="1:12" ht="9.9499999999999993" customHeight="1" x14ac:dyDescent="0.25">
      <c r="A4" s="5"/>
      <c r="D4" s="12"/>
      <c r="E4" s="13"/>
      <c r="F4" s="13"/>
      <c r="G4" s="13"/>
      <c r="H4" s="13"/>
      <c r="I4" s="13"/>
      <c r="J4" s="13"/>
      <c r="K4" s="13"/>
      <c r="L4" s="13"/>
    </row>
    <row r="5" spans="1:12" ht="24" customHeight="1" x14ac:dyDescent="0.25">
      <c r="A5" s="5"/>
      <c r="B5" s="14" t="s">
        <v>3</v>
      </c>
      <c r="D5" s="12"/>
      <c r="E5" s="13"/>
      <c r="F5" s="13"/>
      <c r="G5" s="13"/>
      <c r="H5" s="13"/>
      <c r="I5" s="13"/>
      <c r="J5" s="13"/>
      <c r="K5" s="13"/>
      <c r="L5" s="13"/>
    </row>
    <row r="6" spans="1:12" ht="30" customHeight="1" x14ac:dyDescent="0.25">
      <c r="A6" s="5"/>
      <c r="C6" s="15" t="s">
        <v>4</v>
      </c>
      <c r="D6" s="110"/>
      <c r="E6" s="110"/>
      <c r="F6" s="110"/>
      <c r="G6" s="110"/>
      <c r="H6" s="110"/>
      <c r="I6" s="110"/>
      <c r="J6" s="110"/>
      <c r="K6" s="110"/>
      <c r="L6" s="13"/>
    </row>
    <row r="7" spans="1:12" ht="30" customHeight="1" x14ac:dyDescent="0.25">
      <c r="A7" s="5"/>
      <c r="C7" s="15" t="s">
        <v>5</v>
      </c>
      <c r="D7" s="119"/>
      <c r="E7" s="119"/>
      <c r="F7" s="119"/>
      <c r="G7" s="119"/>
      <c r="H7" s="119"/>
      <c r="I7" s="119"/>
      <c r="J7" s="119"/>
      <c r="K7" s="119"/>
      <c r="L7" s="13"/>
    </row>
    <row r="8" spans="1:12" ht="30" customHeight="1" x14ac:dyDescent="0.25">
      <c r="A8" s="5"/>
      <c r="C8" s="15" t="s">
        <v>6</v>
      </c>
      <c r="D8" s="110"/>
      <c r="E8" s="110"/>
      <c r="F8" s="13"/>
      <c r="G8" s="15" t="s">
        <v>7</v>
      </c>
      <c r="H8" s="13"/>
      <c r="I8" s="110"/>
      <c r="J8" s="110"/>
      <c r="K8" s="110"/>
      <c r="L8" s="13"/>
    </row>
    <row r="9" spans="1:12" ht="30" customHeight="1" x14ac:dyDescent="0.25">
      <c r="A9" s="5"/>
      <c r="C9" s="15" t="s">
        <v>87</v>
      </c>
      <c r="D9" s="110"/>
      <c r="E9" s="110"/>
      <c r="F9" s="13"/>
      <c r="G9" s="15" t="s">
        <v>88</v>
      </c>
      <c r="H9" s="13"/>
      <c r="I9" s="110" t="s">
        <v>89</v>
      </c>
      <c r="J9" s="110"/>
      <c r="K9" s="110"/>
      <c r="L9" s="13"/>
    </row>
    <row r="10" spans="1:12" ht="30" customHeight="1" x14ac:dyDescent="0.25">
      <c r="A10" s="5"/>
      <c r="C10" s="15" t="s">
        <v>8</v>
      </c>
      <c r="D10" s="110"/>
      <c r="E10" s="110"/>
      <c r="F10" s="110"/>
      <c r="G10" s="110"/>
      <c r="H10" s="110"/>
      <c r="I10" s="110"/>
      <c r="J10" s="110"/>
      <c r="K10" s="110"/>
      <c r="L10" s="13"/>
    </row>
    <row r="11" spans="1:12" ht="30" customHeight="1" x14ac:dyDescent="0.25">
      <c r="A11" s="5"/>
      <c r="C11" s="15" t="s">
        <v>9</v>
      </c>
      <c r="D11" s="110"/>
      <c r="E11" s="110"/>
      <c r="F11" s="110"/>
      <c r="G11" s="15" t="s">
        <v>10</v>
      </c>
      <c r="H11" s="13"/>
      <c r="I11" s="16" t="s">
        <v>2</v>
      </c>
      <c r="J11" s="15" t="s">
        <v>11</v>
      </c>
      <c r="K11" s="4"/>
      <c r="L11" s="13"/>
    </row>
    <row r="12" spans="1:12" ht="20.100000000000001" customHeight="1" x14ac:dyDescent="0.25">
      <c r="A12" s="5"/>
      <c r="D12" s="12"/>
      <c r="E12" s="13"/>
      <c r="F12" s="13"/>
      <c r="G12" s="13"/>
      <c r="H12" s="13"/>
      <c r="I12" s="13"/>
      <c r="J12" s="13"/>
      <c r="K12" s="13"/>
      <c r="L12" s="13"/>
    </row>
    <row r="13" spans="1:12" ht="30" customHeight="1" x14ac:dyDescent="0.25">
      <c r="A13" s="5"/>
      <c r="B13" s="115" t="s">
        <v>12</v>
      </c>
      <c r="C13" s="115"/>
      <c r="D13" s="115"/>
      <c r="E13" s="116" t="s">
        <v>13</v>
      </c>
      <c r="F13" s="116"/>
      <c r="G13" s="116"/>
      <c r="H13" s="116"/>
      <c r="I13" s="116" t="s">
        <v>14</v>
      </c>
      <c r="J13" s="116"/>
      <c r="K13" s="116"/>
      <c r="L13" s="13"/>
    </row>
    <row r="14" spans="1:12" ht="30" customHeight="1" x14ac:dyDescent="0.25">
      <c r="A14" s="5"/>
      <c r="B14" s="111">
        <f>IFERROR(Summary!$C$5,0)</f>
        <v>0</v>
      </c>
      <c r="C14" s="111"/>
      <c r="D14" s="111"/>
      <c r="E14" s="112">
        <f>IFERROR(Summary!$D$5,0)</f>
        <v>0</v>
      </c>
      <c r="F14" s="112"/>
      <c r="G14" s="112"/>
      <c r="H14" s="112"/>
      <c r="I14" s="113">
        <f>IFERROR(Summary!$C$6,0)</f>
        <v>0</v>
      </c>
      <c r="J14" s="113"/>
      <c r="K14" s="113"/>
      <c r="L14" s="10"/>
    </row>
    <row r="15" spans="1:12" ht="18" x14ac:dyDescent="0.25">
      <c r="A15" s="5"/>
      <c r="B15" s="17"/>
      <c r="C15" s="17"/>
      <c r="D15" s="18"/>
      <c r="E15" s="19"/>
      <c r="F15" s="19"/>
      <c r="G15" s="19"/>
      <c r="H15" s="19"/>
      <c r="I15" s="19"/>
      <c r="J15" s="19"/>
      <c r="K15" s="17"/>
      <c r="L15" s="10"/>
    </row>
    <row r="16" spans="1:12" ht="18" x14ac:dyDescent="0.25">
      <c r="A16" s="5"/>
      <c r="D16" s="12"/>
      <c r="E16" s="20"/>
      <c r="F16" s="20"/>
      <c r="G16" s="20"/>
      <c r="H16" s="20"/>
      <c r="I16" s="20"/>
      <c r="J16" s="20"/>
      <c r="L16" s="10"/>
    </row>
    <row r="17" spans="1:12" ht="18" x14ac:dyDescent="0.25">
      <c r="A17" s="5"/>
      <c r="B17" s="14" t="s">
        <v>15</v>
      </c>
      <c r="D17" s="12"/>
      <c r="E17" s="20"/>
      <c r="F17" s="20"/>
      <c r="G17" s="20"/>
      <c r="H17" s="20"/>
      <c r="I17" s="20"/>
      <c r="J17" s="20"/>
      <c r="L17" s="10"/>
    </row>
    <row r="18" spans="1:12" ht="18" x14ac:dyDescent="0.25">
      <c r="A18" s="5"/>
      <c r="B18" s="21" t="s">
        <v>16</v>
      </c>
      <c r="D18" s="12"/>
      <c r="E18" s="20"/>
      <c r="F18" s="20"/>
      <c r="G18" s="20"/>
      <c r="H18" s="20"/>
      <c r="I18" s="20"/>
      <c r="J18" s="20"/>
      <c r="L18" s="10"/>
    </row>
    <row r="19" spans="1:12" ht="30" customHeight="1" x14ac:dyDescent="0.25">
      <c r="A19" s="5"/>
      <c r="C19" s="15" t="s">
        <v>4</v>
      </c>
      <c r="D19" s="110"/>
      <c r="E19" s="110"/>
      <c r="F19" s="110"/>
      <c r="G19" s="110"/>
      <c r="H19" s="110"/>
      <c r="I19" s="110"/>
      <c r="J19" s="110"/>
      <c r="K19" s="110"/>
      <c r="L19" s="10"/>
    </row>
    <row r="20" spans="1:12" ht="30" customHeight="1" x14ac:dyDescent="0.25">
      <c r="A20" s="5"/>
      <c r="C20" s="15" t="s">
        <v>5</v>
      </c>
      <c r="D20" s="110"/>
      <c r="E20" s="110"/>
      <c r="F20" s="110"/>
      <c r="G20" s="110"/>
      <c r="H20" s="110"/>
      <c r="I20" s="110"/>
      <c r="J20" s="110"/>
      <c r="K20" s="110"/>
      <c r="L20" s="10"/>
    </row>
    <row r="21" spans="1:12" ht="30" customHeight="1" x14ac:dyDescent="0.25">
      <c r="A21" s="5"/>
      <c r="C21" s="15" t="s">
        <v>6</v>
      </c>
      <c r="D21" s="110"/>
      <c r="E21" s="110"/>
      <c r="F21" s="13"/>
      <c r="G21" s="15" t="s">
        <v>7</v>
      </c>
      <c r="H21" s="13"/>
      <c r="I21" s="110"/>
      <c r="J21" s="110"/>
      <c r="K21" s="110"/>
      <c r="L21" s="10"/>
    </row>
    <row r="22" spans="1:12" ht="30" customHeight="1" x14ac:dyDescent="0.25">
      <c r="A22" s="5"/>
      <c r="C22" s="15" t="s">
        <v>17</v>
      </c>
      <c r="D22" s="110"/>
      <c r="E22" s="110"/>
      <c r="F22" s="110"/>
      <c r="G22" s="110"/>
      <c r="H22" s="110"/>
      <c r="I22" s="110"/>
      <c r="J22" s="110"/>
      <c r="K22" s="110"/>
      <c r="L22" s="10"/>
    </row>
    <row r="23" spans="1:12" ht="30" customHeight="1" x14ac:dyDescent="0.25">
      <c r="A23" s="5"/>
      <c r="C23" s="15" t="s">
        <v>9</v>
      </c>
      <c r="D23" s="110"/>
      <c r="E23" s="110"/>
      <c r="F23" s="110"/>
      <c r="G23" s="15" t="s">
        <v>10</v>
      </c>
      <c r="H23" s="13"/>
      <c r="I23" s="4"/>
      <c r="J23" s="15" t="s">
        <v>11</v>
      </c>
      <c r="K23" s="4"/>
      <c r="L23" s="10"/>
    </row>
    <row r="24" spans="1:12" ht="30" customHeight="1" x14ac:dyDescent="0.25">
      <c r="A24" s="5"/>
      <c r="C24" s="15" t="s">
        <v>18</v>
      </c>
      <c r="D24" s="110"/>
      <c r="E24" s="110"/>
      <c r="F24" s="110"/>
      <c r="G24" s="110"/>
      <c r="H24" s="110"/>
      <c r="I24" s="110"/>
      <c r="J24" s="110"/>
      <c r="K24" s="110"/>
      <c r="L24" s="10"/>
    </row>
    <row r="25" spans="1:12" ht="18" x14ac:dyDescent="0.25">
      <c r="A25" s="5"/>
      <c r="D25" s="12"/>
      <c r="E25" s="20"/>
      <c r="F25" s="20"/>
      <c r="G25" s="20"/>
      <c r="H25" s="20"/>
      <c r="I25" s="20"/>
      <c r="J25" s="20"/>
      <c r="L25" s="10"/>
    </row>
    <row r="26" spans="1:12" ht="18" x14ac:dyDescent="0.25">
      <c r="A26" s="5"/>
      <c r="B26" s="14" t="s">
        <v>19</v>
      </c>
      <c r="D26" s="12"/>
      <c r="E26" s="20"/>
      <c r="F26" s="20"/>
      <c r="G26" s="20"/>
      <c r="H26" s="20"/>
      <c r="I26" s="20"/>
      <c r="J26" s="20"/>
      <c r="L26" s="10"/>
    </row>
    <row r="27" spans="1:12" ht="90" customHeight="1" x14ac:dyDescent="0.25">
      <c r="A27" s="5"/>
      <c r="B27" s="114" t="s">
        <v>20</v>
      </c>
      <c r="C27" s="114"/>
      <c r="D27" s="114"/>
      <c r="E27" s="114"/>
      <c r="F27" s="114"/>
      <c r="G27" s="114"/>
      <c r="H27" s="114"/>
      <c r="I27" s="114"/>
      <c r="J27" s="114"/>
      <c r="K27" s="114"/>
      <c r="L27" s="10"/>
    </row>
    <row r="28" spans="1:12" ht="50.1" customHeight="1" x14ac:dyDescent="0.25">
      <c r="A28" s="5"/>
      <c r="C28" s="15" t="s">
        <v>21</v>
      </c>
      <c r="D28" s="110"/>
      <c r="E28" s="110"/>
      <c r="F28" s="110"/>
      <c r="G28" s="110"/>
      <c r="H28" s="110"/>
      <c r="I28" s="110"/>
      <c r="J28" s="15" t="s">
        <v>22</v>
      </c>
      <c r="K28" s="1"/>
      <c r="L28" s="10"/>
    </row>
  </sheetData>
  <sheetProtection algorithmName="SHA-512" hashValue="v2cVd0mUn1P/w7ElaD8bDLH2PPEf6gAwdbzzUVfc0x/d2SuYG2XLcfETaA8s+n4inLj1NArMESv5WcDBHvYz9g==" saltValue="dtn8a3Du/6nqMuaagSOHQQ==" spinCount="100000" sheet="1" objects="1" scenarios="1"/>
  <mergeCells count="25">
    <mergeCell ref="D2:J2"/>
    <mergeCell ref="D3:J3"/>
    <mergeCell ref="D6:K6"/>
    <mergeCell ref="D7:K7"/>
    <mergeCell ref="D8:E8"/>
    <mergeCell ref="I8:K8"/>
    <mergeCell ref="D10:K10"/>
    <mergeCell ref="D11:F11"/>
    <mergeCell ref="D9:E9"/>
    <mergeCell ref="I9:K9"/>
    <mergeCell ref="B13:D13"/>
    <mergeCell ref="E13:H13"/>
    <mergeCell ref="I13:K13"/>
    <mergeCell ref="B14:D14"/>
    <mergeCell ref="E14:H14"/>
    <mergeCell ref="I14:K14"/>
    <mergeCell ref="D24:K24"/>
    <mergeCell ref="B27:K27"/>
    <mergeCell ref="D28:I28"/>
    <mergeCell ref="D19:K19"/>
    <mergeCell ref="D20:K20"/>
    <mergeCell ref="D21:E21"/>
    <mergeCell ref="I21:K21"/>
    <mergeCell ref="D22:K22"/>
    <mergeCell ref="D23:F2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01A22-D244-42D5-A89F-C0E55D05022B}">
  <dimension ref="A1:F975"/>
  <sheetViews>
    <sheetView zoomScale="80" zoomScaleNormal="80" workbookViewId="0"/>
  </sheetViews>
  <sheetFormatPr defaultColWidth="9.140625" defaultRowHeight="12.75" x14ac:dyDescent="0.25"/>
  <cols>
    <col min="1" max="1" width="2.7109375" style="37" customWidth="1"/>
    <col min="2" max="2" width="35.7109375" style="37" customWidth="1"/>
    <col min="3" max="4" width="15.7109375" style="37" customWidth="1"/>
    <col min="5" max="6" width="9.140625" style="26"/>
    <col min="7" max="16384" width="9.140625" style="37"/>
  </cols>
  <sheetData>
    <row r="1" spans="1:4" s="26" customFormat="1" ht="9.9499999999999993" customHeight="1" thickBot="1" x14ac:dyDescent="0.3">
      <c r="A1" s="25">
        <f>$C$24</f>
        <v>2026.1</v>
      </c>
    </row>
    <row r="2" spans="1:4" s="26" customFormat="1" ht="33" customHeight="1" thickBot="1" x14ac:dyDescent="0.3">
      <c r="B2" s="120" t="s">
        <v>121</v>
      </c>
      <c r="C2" s="121"/>
      <c r="D2" s="122"/>
    </row>
    <row r="3" spans="1:4" s="26" customFormat="1" ht="12" customHeight="1" thickBot="1" x14ac:dyDescent="0.3"/>
    <row r="4" spans="1:4" s="26" customFormat="1" ht="32.1" customHeight="1" thickBot="1" x14ac:dyDescent="0.3">
      <c r="B4" s="123" t="s">
        <v>122</v>
      </c>
      <c r="C4" s="27" t="s">
        <v>123</v>
      </c>
      <c r="D4" s="28" t="s">
        <v>124</v>
      </c>
    </row>
    <row r="5" spans="1:4" s="26" customFormat="1" ht="31.5" customHeight="1" x14ac:dyDescent="0.25">
      <c r="B5" s="124"/>
      <c r="C5" s="87">
        <f>IFERROR(SUM(C11:C22),0)</f>
        <v>0</v>
      </c>
      <c r="D5" s="88">
        <f>IFERROR(SUM(D11:D22),0)</f>
        <v>0</v>
      </c>
    </row>
    <row r="6" spans="1:4" s="26" customFormat="1" ht="31.5" customHeight="1" thickBot="1" x14ac:dyDescent="0.3">
      <c r="B6" s="29" t="s">
        <v>125</v>
      </c>
      <c r="C6" s="125">
        <f>IFERROR(SUM(Inventory!$D$52:$M$52),0)</f>
        <v>0</v>
      </c>
      <c r="D6" s="126"/>
    </row>
    <row r="7" spans="1:4" s="26" customFormat="1" ht="12" customHeight="1" thickBot="1" x14ac:dyDescent="0.3"/>
    <row r="8" spans="1:4" s="26" customFormat="1" ht="18" customHeight="1" x14ac:dyDescent="0.25">
      <c r="C8" s="127" t="s">
        <v>126</v>
      </c>
      <c r="D8" s="128"/>
    </row>
    <row r="9" spans="1:4" s="26" customFormat="1" ht="18" customHeight="1" x14ac:dyDescent="0.25">
      <c r="C9" s="129"/>
      <c r="D9" s="130"/>
    </row>
    <row r="10" spans="1:4" s="26" customFormat="1" ht="36" customHeight="1" thickBot="1" x14ac:dyDescent="0.3">
      <c r="C10" s="30" t="s">
        <v>127</v>
      </c>
      <c r="D10" s="31" t="s">
        <v>124</v>
      </c>
    </row>
    <row r="11" spans="1:4" s="26" customFormat="1" ht="18" customHeight="1" x14ac:dyDescent="0.25">
      <c r="B11" s="32" t="s">
        <v>137</v>
      </c>
      <c r="C11" s="89">
        <f>SUMIF(Inventory!$D$6:$M$6,Summary!$B11,Inventory!$D$47:$M$47)</f>
        <v>0</v>
      </c>
      <c r="D11" s="90">
        <f>SUMIF(Inventory!$D$6:$M$6,Summary!$B11,Inventory!$D$48:$M$48)</f>
        <v>0</v>
      </c>
    </row>
    <row r="12" spans="1:4" s="26" customFormat="1" ht="18" customHeight="1" x14ac:dyDescent="0.25">
      <c r="B12" s="33" t="s">
        <v>138</v>
      </c>
      <c r="C12" s="91">
        <f>SUMIF(Inventory!$D$6:$M$6,Summary!$B12,Inventory!$D$47:$M$47)</f>
        <v>0</v>
      </c>
      <c r="D12" s="92">
        <f>SUMIF(Inventory!$D$6:$M$6,Summary!$B12,Inventory!$D$48:$M$48)</f>
        <v>0</v>
      </c>
    </row>
    <row r="13" spans="1:4" s="26" customFormat="1" ht="18" customHeight="1" x14ac:dyDescent="0.25">
      <c r="B13" s="33" t="s">
        <v>139</v>
      </c>
      <c r="C13" s="91">
        <f>SUMIF(Inventory!$D$6:$M$6,Summary!$B13,Inventory!$D$47:$M$47)</f>
        <v>0</v>
      </c>
      <c r="D13" s="92">
        <f>SUMIF(Inventory!$D$6:$M$6,Summary!$B13,Inventory!$D$48:$M$48)</f>
        <v>0</v>
      </c>
    </row>
    <row r="14" spans="1:4" s="26" customFormat="1" ht="18" customHeight="1" x14ac:dyDescent="0.25">
      <c r="B14" s="86" t="s">
        <v>140</v>
      </c>
      <c r="C14" s="93">
        <f>SUMIF(Inventory!$D$6:$M$6,Summary!$B14,Inventory!$D$47:$M$47)</f>
        <v>0</v>
      </c>
      <c r="D14" s="94">
        <f>SUMIF(Inventory!$D$6:$M$6,Summary!$B14,Inventory!$D$48:$M$48)</f>
        <v>0</v>
      </c>
    </row>
    <row r="15" spans="1:4" s="26" customFormat="1" ht="18" customHeight="1" x14ac:dyDescent="0.25">
      <c r="B15" s="34" t="s">
        <v>129</v>
      </c>
      <c r="C15" s="95">
        <f>SUMIFS(Inventory!$D$47:$M$47,Inventory!$D$6:$M$6,"Air-Cooled Chiller",Inventory!$D$9:$M$9,"Screw")</f>
        <v>0</v>
      </c>
      <c r="D15" s="96">
        <f>SUMIFS(Inventory!$D$48:$M$48,Inventory!$D$6:$M$6,"Air-Cooled Chiller",Inventory!$D$9:$M$9,"Screw")</f>
        <v>0</v>
      </c>
    </row>
    <row r="16" spans="1:4" s="26" customFormat="1" ht="18" customHeight="1" x14ac:dyDescent="0.25">
      <c r="B16" s="34" t="s">
        <v>130</v>
      </c>
      <c r="C16" s="95">
        <f>SUMIFS(Inventory!$D$47:$M$47,Inventory!$D$6:$M$6,"Air-Cooled Chiller",Inventory!$D$9:$M$9,"Scroll")</f>
        <v>0</v>
      </c>
      <c r="D16" s="96">
        <f>SUMIFS(Inventory!$D$48:$M$48,Inventory!$D$6:$M$6,"Air-Cooled Chiller",Inventory!$D$9:$M$9,"Scroll")</f>
        <v>0</v>
      </c>
    </row>
    <row r="17" spans="2:4" s="26" customFormat="1" ht="18" customHeight="1" x14ac:dyDescent="0.25">
      <c r="B17" s="34" t="s">
        <v>159</v>
      </c>
      <c r="C17" s="95">
        <f>SUMIFS(Inventory!$D$47:$M$47,Inventory!$D$6:$M$6,"Air-Cooled Chiller",Inventory!$D$9:$M$9,"Reciprocating")</f>
        <v>0</v>
      </c>
      <c r="D17" s="96">
        <f>SUMIFS(Inventory!$D$48:$M$48,Inventory!$D$6:$M$6,"Air-Cooled Chiller",Inventory!$D$9:$M$9,"Reciprocating")</f>
        <v>0</v>
      </c>
    </row>
    <row r="18" spans="2:4" s="26" customFormat="1" ht="18" customHeight="1" x14ac:dyDescent="0.25">
      <c r="B18" s="34" t="s">
        <v>131</v>
      </c>
      <c r="C18" s="95">
        <f>SUMIFS(Inventory!$D$47:$M$47,Inventory!$D$6:$M$6,"Air-Cooled Chiller",Inventory!$D$9:$M$9,"Centrifugal")</f>
        <v>0</v>
      </c>
      <c r="D18" s="96">
        <f>SUMIFS(Inventory!$D$48:$M$48,Inventory!$D$6:$M$6,"Air-Cooled Chiller",Inventory!$D$9:$M$9,"Centrifugal")</f>
        <v>0</v>
      </c>
    </row>
    <row r="19" spans="2:4" s="26" customFormat="1" ht="18" customHeight="1" x14ac:dyDescent="0.25">
      <c r="B19" s="34" t="s">
        <v>132</v>
      </c>
      <c r="C19" s="95">
        <f>SUMIFS(Inventory!$D$47:$M$47,Inventory!$D$6:$M$6,"Water-Cooled Chiller",Inventory!$D$9:$M$9,"Screw")</f>
        <v>0</v>
      </c>
      <c r="D19" s="96">
        <f>SUMIFS(Inventory!$D$48:$M$48,Inventory!$D$6:$M$6,"Water-Cooled Chiller",Inventory!$D$9:$M$9,"Screw")</f>
        <v>0</v>
      </c>
    </row>
    <row r="20" spans="2:4" s="26" customFormat="1" ht="18" customHeight="1" x14ac:dyDescent="0.25">
      <c r="B20" s="34" t="s">
        <v>133</v>
      </c>
      <c r="C20" s="95">
        <f>SUMIFS(Inventory!$D$47:$M$47,Inventory!$D$6:$M$6,"Water-Cooled Chiller",Inventory!$D$9:$M$9,"Scroll")</f>
        <v>0</v>
      </c>
      <c r="D20" s="96">
        <f>SUMIFS(Inventory!$D$48:$M$48,Inventory!$D$6:$M$6,"Water-Cooled Chiller",Inventory!$D$9:$M$9,"Scroll")</f>
        <v>0</v>
      </c>
    </row>
    <row r="21" spans="2:4" s="26" customFormat="1" ht="18" customHeight="1" x14ac:dyDescent="0.25">
      <c r="B21" s="34" t="s">
        <v>160</v>
      </c>
      <c r="C21" s="95">
        <f>SUMIFS(Inventory!$D$47:$M$47,Inventory!$D$6:$M$6,"Water-Cooled Chiller",Inventory!$D$9:$M$9,"Reciprocating")</f>
        <v>0</v>
      </c>
      <c r="D21" s="96">
        <f>SUMIFS(Inventory!$D$48:$M$48,Inventory!$D$6:$M$6,"Water-Cooled Chiller",Inventory!$D$9:$M$9,"Reciprocating")</f>
        <v>0</v>
      </c>
    </row>
    <row r="22" spans="2:4" s="26" customFormat="1" ht="18" customHeight="1" thickBot="1" x14ac:dyDescent="0.3">
      <c r="B22" s="35" t="s">
        <v>134</v>
      </c>
      <c r="C22" s="97">
        <f>SUMIFS(Inventory!$D$47:$M$47,Inventory!$D$6:$M$6,"Water-Cooled Chiller",Inventory!$D$9:$M$9,"Centrifugal")</f>
        <v>0</v>
      </c>
      <c r="D22" s="98">
        <f>SUMIFS(Inventory!$D$48:$M$48,Inventory!$D$6:$M$6,"Water-Cooled Chiller",Inventory!$D$9:$M$9,"Centrifugal")</f>
        <v>0</v>
      </c>
    </row>
    <row r="23" spans="2:4" s="26" customFormat="1" ht="13.5" thickBot="1" x14ac:dyDescent="0.3"/>
    <row r="24" spans="2:4" s="26" customFormat="1" ht="18" customHeight="1" thickBot="1" x14ac:dyDescent="0.3">
      <c r="B24" s="36" t="s">
        <v>128</v>
      </c>
      <c r="C24" s="71">
        <v>2026.1</v>
      </c>
    </row>
    <row r="25" spans="2:4" s="26" customFormat="1" x14ac:dyDescent="0.25"/>
    <row r="26" spans="2:4" s="26" customFormat="1" x14ac:dyDescent="0.25"/>
    <row r="27" spans="2:4" s="26" customFormat="1" x14ac:dyDescent="0.25"/>
    <row r="28" spans="2:4" s="26" customFormat="1" x14ac:dyDescent="0.25"/>
    <row r="29" spans="2:4" s="26" customFormat="1" x14ac:dyDescent="0.25"/>
    <row r="30" spans="2:4" s="26" customFormat="1" x14ac:dyDescent="0.25"/>
    <row r="31" spans="2:4" s="26" customFormat="1" x14ac:dyDescent="0.25"/>
    <row r="32" spans="2:4" s="26" customFormat="1" x14ac:dyDescent="0.25"/>
    <row r="33" s="26" customFormat="1" x14ac:dyDescent="0.25"/>
    <row r="34" s="26" customFormat="1" x14ac:dyDescent="0.25"/>
    <row r="35" s="26" customFormat="1" x14ac:dyDescent="0.25"/>
    <row r="36" s="26" customFormat="1" x14ac:dyDescent="0.25"/>
    <row r="37" s="26" customFormat="1" x14ac:dyDescent="0.25"/>
    <row r="38" s="26" customFormat="1" x14ac:dyDescent="0.25"/>
    <row r="39" s="26" customFormat="1" x14ac:dyDescent="0.25"/>
    <row r="40" s="26" customFormat="1" x14ac:dyDescent="0.25"/>
    <row r="41" s="26" customFormat="1" x14ac:dyDescent="0.25"/>
    <row r="42" s="26" customFormat="1" x14ac:dyDescent="0.25"/>
    <row r="43" s="26" customFormat="1" x14ac:dyDescent="0.25"/>
    <row r="44" s="26" customFormat="1" x14ac:dyDescent="0.25"/>
    <row r="45" s="26" customFormat="1" x14ac:dyDescent="0.25"/>
    <row r="46" s="26" customFormat="1" x14ac:dyDescent="0.25"/>
    <row r="47" s="26" customFormat="1" x14ac:dyDescent="0.25"/>
    <row r="48" s="26" customFormat="1" x14ac:dyDescent="0.25"/>
    <row r="49" s="26" customFormat="1" x14ac:dyDescent="0.25"/>
    <row r="50" s="26" customFormat="1" x14ac:dyDescent="0.25"/>
    <row r="51" s="26" customFormat="1" x14ac:dyDescent="0.25"/>
    <row r="52" s="26" customFormat="1" x14ac:dyDescent="0.25"/>
    <row r="53" s="26" customFormat="1" x14ac:dyDescent="0.25"/>
    <row r="54" s="26" customFormat="1" x14ac:dyDescent="0.25"/>
    <row r="55" s="26" customFormat="1" x14ac:dyDescent="0.25"/>
    <row r="56" s="26" customFormat="1" x14ac:dyDescent="0.25"/>
    <row r="57" s="26" customFormat="1" x14ac:dyDescent="0.25"/>
    <row r="58" s="26" customFormat="1" x14ac:dyDescent="0.25"/>
    <row r="59" s="26" customFormat="1" x14ac:dyDescent="0.25"/>
    <row r="60" s="26" customFormat="1" x14ac:dyDescent="0.25"/>
    <row r="61" s="26" customFormat="1" x14ac:dyDescent="0.25"/>
    <row r="62" s="26" customFormat="1" x14ac:dyDescent="0.25"/>
    <row r="63" s="26" customFormat="1" x14ac:dyDescent="0.25"/>
    <row r="64" s="26" customFormat="1" x14ac:dyDescent="0.25"/>
    <row r="65" s="26" customFormat="1" x14ac:dyDescent="0.25"/>
    <row r="66" s="26" customFormat="1" x14ac:dyDescent="0.25"/>
    <row r="67" s="26" customFormat="1" x14ac:dyDescent="0.25"/>
    <row r="68" s="26" customFormat="1" x14ac:dyDescent="0.25"/>
    <row r="69" s="26" customFormat="1" x14ac:dyDescent="0.25"/>
    <row r="70" s="26" customFormat="1" x14ac:dyDescent="0.25"/>
    <row r="71" s="26" customFormat="1" x14ac:dyDescent="0.25"/>
    <row r="72" s="26" customFormat="1" x14ac:dyDescent="0.25"/>
    <row r="73" s="26" customFormat="1" x14ac:dyDescent="0.25"/>
    <row r="74" s="26" customFormat="1" x14ac:dyDescent="0.25"/>
    <row r="75" s="26" customFormat="1" x14ac:dyDescent="0.25"/>
    <row r="76" s="26" customFormat="1" x14ac:dyDescent="0.25"/>
    <row r="77" s="26" customFormat="1" x14ac:dyDescent="0.25"/>
    <row r="78" s="26" customFormat="1" x14ac:dyDescent="0.25"/>
    <row r="79" s="26" customFormat="1" x14ac:dyDescent="0.25"/>
    <row r="80" s="26" customFormat="1" x14ac:dyDescent="0.25"/>
    <row r="81" s="26" customFormat="1" x14ac:dyDescent="0.25"/>
    <row r="82" s="26" customFormat="1" x14ac:dyDescent="0.25"/>
    <row r="83" s="26" customFormat="1" x14ac:dyDescent="0.25"/>
    <row r="84" s="26" customFormat="1" x14ac:dyDescent="0.25"/>
    <row r="85" s="26" customFormat="1" x14ac:dyDescent="0.25"/>
    <row r="86" s="26" customFormat="1" x14ac:dyDescent="0.25"/>
    <row r="87" s="26" customFormat="1" x14ac:dyDescent="0.25"/>
    <row r="88" s="26" customFormat="1" x14ac:dyDescent="0.25"/>
    <row r="89" s="26" customFormat="1" x14ac:dyDescent="0.25"/>
    <row r="90" s="26" customFormat="1" x14ac:dyDescent="0.25"/>
    <row r="91" s="26" customFormat="1" x14ac:dyDescent="0.25"/>
    <row r="92" s="26" customFormat="1" x14ac:dyDescent="0.25"/>
    <row r="93" s="26" customFormat="1" x14ac:dyDescent="0.25"/>
    <row r="94" s="26" customFormat="1" x14ac:dyDescent="0.25"/>
    <row r="95" s="26" customFormat="1" x14ac:dyDescent="0.25"/>
    <row r="96" s="26" customFormat="1" x14ac:dyDescent="0.25"/>
    <row r="97" s="26" customFormat="1" x14ac:dyDescent="0.25"/>
    <row r="98" s="26" customFormat="1" x14ac:dyDescent="0.25"/>
    <row r="99" s="26" customFormat="1" x14ac:dyDescent="0.25"/>
    <row r="100" s="26" customFormat="1" x14ac:dyDescent="0.25"/>
    <row r="101" s="26" customFormat="1" x14ac:dyDescent="0.25"/>
    <row r="102" s="26" customFormat="1" x14ac:dyDescent="0.25"/>
    <row r="103" s="26" customFormat="1" x14ac:dyDescent="0.25"/>
    <row r="104" s="26" customFormat="1" x14ac:dyDescent="0.25"/>
    <row r="105" s="26" customFormat="1" x14ac:dyDescent="0.25"/>
    <row r="106" s="26" customFormat="1" x14ac:dyDescent="0.25"/>
    <row r="107" s="26" customFormat="1" x14ac:dyDescent="0.25"/>
    <row r="108" s="26" customFormat="1" x14ac:dyDescent="0.25"/>
    <row r="109" s="26" customFormat="1" x14ac:dyDescent="0.25"/>
    <row r="110" s="26" customFormat="1" x14ac:dyDescent="0.25"/>
    <row r="111" s="26" customFormat="1" x14ac:dyDescent="0.25"/>
    <row r="112" s="26" customFormat="1" x14ac:dyDescent="0.25"/>
    <row r="113" s="26" customFormat="1" x14ac:dyDescent="0.25"/>
    <row r="114" s="26" customFormat="1" x14ac:dyDescent="0.25"/>
    <row r="115" s="26" customFormat="1" x14ac:dyDescent="0.25"/>
    <row r="116" s="26" customFormat="1" x14ac:dyDescent="0.25"/>
    <row r="117" s="26" customFormat="1" x14ac:dyDescent="0.25"/>
    <row r="118" s="26" customFormat="1" x14ac:dyDescent="0.25"/>
    <row r="119" s="26" customFormat="1" x14ac:dyDescent="0.25"/>
    <row r="120" s="26" customFormat="1" x14ac:dyDescent="0.25"/>
    <row r="121" s="26" customFormat="1" x14ac:dyDescent="0.25"/>
    <row r="122" s="26" customFormat="1" x14ac:dyDescent="0.25"/>
    <row r="123" s="26" customFormat="1" x14ac:dyDescent="0.25"/>
    <row r="124" s="26" customFormat="1" x14ac:dyDescent="0.25"/>
    <row r="125" s="26" customFormat="1" x14ac:dyDescent="0.25"/>
    <row r="126" s="26" customFormat="1" x14ac:dyDescent="0.25"/>
    <row r="127" s="26" customFormat="1" x14ac:dyDescent="0.25"/>
    <row r="128" s="26" customFormat="1" x14ac:dyDescent="0.25"/>
    <row r="129" s="26" customFormat="1" x14ac:dyDescent="0.25"/>
    <row r="130" s="26" customFormat="1" x14ac:dyDescent="0.25"/>
    <row r="131" s="26" customFormat="1" x14ac:dyDescent="0.25"/>
    <row r="132" s="26" customFormat="1" x14ac:dyDescent="0.25"/>
    <row r="133" s="26" customFormat="1" x14ac:dyDescent="0.25"/>
    <row r="134" s="26" customFormat="1" x14ac:dyDescent="0.25"/>
    <row r="135" s="26" customFormat="1" x14ac:dyDescent="0.25"/>
    <row r="136" s="26" customFormat="1" x14ac:dyDescent="0.25"/>
    <row r="137" s="26" customFormat="1" x14ac:dyDescent="0.25"/>
    <row r="138" s="26" customFormat="1" x14ac:dyDescent="0.25"/>
    <row r="139" s="26" customFormat="1" x14ac:dyDescent="0.25"/>
    <row r="140" s="26" customFormat="1" x14ac:dyDescent="0.25"/>
    <row r="141" s="26" customFormat="1" x14ac:dyDescent="0.25"/>
    <row r="142" s="26" customFormat="1" x14ac:dyDescent="0.25"/>
    <row r="143" s="26" customFormat="1" x14ac:dyDescent="0.25"/>
    <row r="144" s="26" customFormat="1" x14ac:dyDescent="0.25"/>
    <row r="145" s="26" customFormat="1" x14ac:dyDescent="0.25"/>
    <row r="146" s="26" customFormat="1" x14ac:dyDescent="0.25"/>
    <row r="147" s="26" customFormat="1" x14ac:dyDescent="0.25"/>
    <row r="148" s="26" customFormat="1" x14ac:dyDescent="0.25"/>
    <row r="149" s="26" customFormat="1" x14ac:dyDescent="0.25"/>
    <row r="150" s="26" customFormat="1" x14ac:dyDescent="0.25"/>
    <row r="151" s="26" customFormat="1" x14ac:dyDescent="0.25"/>
    <row r="152" s="26" customFormat="1" x14ac:dyDescent="0.25"/>
    <row r="153" s="26" customFormat="1" x14ac:dyDescent="0.25"/>
    <row r="154" s="26" customFormat="1" x14ac:dyDescent="0.25"/>
    <row r="155" s="26" customFormat="1" x14ac:dyDescent="0.25"/>
    <row r="156" s="26" customFormat="1" x14ac:dyDescent="0.25"/>
    <row r="157" s="26" customFormat="1" x14ac:dyDescent="0.25"/>
    <row r="158" s="26" customFormat="1" x14ac:dyDescent="0.25"/>
    <row r="159" s="26" customFormat="1" x14ac:dyDescent="0.25"/>
    <row r="160" s="26" customFormat="1" x14ac:dyDescent="0.25"/>
    <row r="161" s="26" customFormat="1" x14ac:dyDescent="0.25"/>
    <row r="162" s="26" customFormat="1" x14ac:dyDescent="0.25"/>
    <row r="163" s="26" customFormat="1" x14ac:dyDescent="0.25"/>
    <row r="164" s="26" customFormat="1" x14ac:dyDescent="0.25"/>
    <row r="165" s="26" customFormat="1" x14ac:dyDescent="0.25"/>
    <row r="166" s="26" customFormat="1" x14ac:dyDescent="0.25"/>
    <row r="167" s="26" customFormat="1" x14ac:dyDescent="0.25"/>
    <row r="168" s="26" customFormat="1" x14ac:dyDescent="0.25"/>
    <row r="169" s="26" customFormat="1" x14ac:dyDescent="0.25"/>
    <row r="170" s="26" customFormat="1" x14ac:dyDescent="0.25"/>
    <row r="171" s="26" customFormat="1" x14ac:dyDescent="0.25"/>
    <row r="172" s="26" customFormat="1" x14ac:dyDescent="0.25"/>
    <row r="173" s="26" customFormat="1" x14ac:dyDescent="0.25"/>
    <row r="174" s="26" customFormat="1" x14ac:dyDescent="0.25"/>
    <row r="175" s="26" customFormat="1" x14ac:dyDescent="0.25"/>
    <row r="176" s="26" customFormat="1" x14ac:dyDescent="0.25"/>
    <row r="177" s="26" customFormat="1" x14ac:dyDescent="0.25"/>
    <row r="178" s="26" customFormat="1" x14ac:dyDescent="0.25"/>
    <row r="179" s="26" customFormat="1" x14ac:dyDescent="0.25"/>
    <row r="180" s="26" customFormat="1" x14ac:dyDescent="0.25"/>
    <row r="181" s="26" customFormat="1" x14ac:dyDescent="0.25"/>
    <row r="182" s="26" customFormat="1" x14ac:dyDescent="0.25"/>
    <row r="183" s="26" customFormat="1" x14ac:dyDescent="0.25"/>
    <row r="184" s="26" customFormat="1" x14ac:dyDescent="0.25"/>
    <row r="185" s="26" customFormat="1" x14ac:dyDescent="0.25"/>
    <row r="186" s="26" customFormat="1" x14ac:dyDescent="0.25"/>
    <row r="187" s="26" customFormat="1" x14ac:dyDescent="0.25"/>
    <row r="188" s="26" customFormat="1" x14ac:dyDescent="0.25"/>
    <row r="189" s="26" customFormat="1" x14ac:dyDescent="0.25"/>
    <row r="190" s="26" customFormat="1" x14ac:dyDescent="0.25"/>
    <row r="191" s="26" customFormat="1" x14ac:dyDescent="0.25"/>
    <row r="192" s="26" customFormat="1" x14ac:dyDescent="0.25"/>
    <row r="193" s="26" customFormat="1" x14ac:dyDescent="0.25"/>
    <row r="194" s="26" customFormat="1" x14ac:dyDescent="0.25"/>
    <row r="195" s="26" customFormat="1" x14ac:dyDescent="0.25"/>
    <row r="196" s="26" customFormat="1" x14ac:dyDescent="0.25"/>
    <row r="197" s="26" customFormat="1" x14ac:dyDescent="0.25"/>
    <row r="198" s="26" customFormat="1" x14ac:dyDescent="0.25"/>
    <row r="199" s="26" customFormat="1" x14ac:dyDescent="0.25"/>
    <row r="200" s="26" customFormat="1" x14ac:dyDescent="0.25"/>
    <row r="201" s="26" customFormat="1" x14ac:dyDescent="0.25"/>
    <row r="202" s="26" customFormat="1" x14ac:dyDescent="0.25"/>
    <row r="203" s="26" customFormat="1" x14ac:dyDescent="0.25"/>
    <row r="204" s="26" customFormat="1" x14ac:dyDescent="0.25"/>
    <row r="205" s="26" customFormat="1" x14ac:dyDescent="0.25"/>
    <row r="206" s="26" customFormat="1" x14ac:dyDescent="0.25"/>
    <row r="207" s="26" customFormat="1" x14ac:dyDescent="0.25"/>
    <row r="208" s="26" customFormat="1" x14ac:dyDescent="0.25"/>
    <row r="209" s="26" customFormat="1" x14ac:dyDescent="0.25"/>
    <row r="210" s="26" customFormat="1" x14ac:dyDescent="0.25"/>
    <row r="211" s="26" customFormat="1" x14ac:dyDescent="0.25"/>
    <row r="212" s="26" customFormat="1" x14ac:dyDescent="0.25"/>
    <row r="213" s="26" customFormat="1" x14ac:dyDescent="0.25"/>
    <row r="214" s="26" customFormat="1" x14ac:dyDescent="0.25"/>
    <row r="215" s="26" customFormat="1" x14ac:dyDescent="0.25"/>
    <row r="216" s="26" customFormat="1" x14ac:dyDescent="0.25"/>
    <row r="217" s="26" customFormat="1" x14ac:dyDescent="0.25"/>
    <row r="218" s="26" customFormat="1" x14ac:dyDescent="0.25"/>
    <row r="219" s="26" customFormat="1" x14ac:dyDescent="0.25"/>
    <row r="220" s="26" customFormat="1" x14ac:dyDescent="0.25"/>
    <row r="221" s="26" customFormat="1" x14ac:dyDescent="0.25"/>
    <row r="222" s="26" customFormat="1" x14ac:dyDescent="0.25"/>
    <row r="223" s="26" customFormat="1" x14ac:dyDescent="0.25"/>
    <row r="224" s="26" customFormat="1" x14ac:dyDescent="0.25"/>
    <row r="225" s="26" customFormat="1" x14ac:dyDescent="0.25"/>
    <row r="226" s="26" customFormat="1" x14ac:dyDescent="0.25"/>
    <row r="227" s="26" customFormat="1" x14ac:dyDescent="0.25"/>
    <row r="228" s="26" customFormat="1" x14ac:dyDescent="0.25"/>
    <row r="229" s="26" customFormat="1" x14ac:dyDescent="0.25"/>
    <row r="230" s="26" customFormat="1" x14ac:dyDescent="0.25"/>
    <row r="231" s="26" customFormat="1" x14ac:dyDescent="0.25"/>
    <row r="232" s="26" customFormat="1" x14ac:dyDescent="0.25"/>
    <row r="233" s="26" customFormat="1" x14ac:dyDescent="0.25"/>
    <row r="234" s="26" customFormat="1" x14ac:dyDescent="0.25"/>
    <row r="235" s="26" customFormat="1" x14ac:dyDescent="0.25"/>
    <row r="236" s="26" customFormat="1" x14ac:dyDescent="0.25"/>
    <row r="237" s="26" customFormat="1" x14ac:dyDescent="0.25"/>
    <row r="238" s="26" customFormat="1" x14ac:dyDescent="0.25"/>
    <row r="239" s="26" customFormat="1" x14ac:dyDescent="0.25"/>
    <row r="240" s="26" customFormat="1" x14ac:dyDescent="0.25"/>
    <row r="241" s="26" customFormat="1" x14ac:dyDescent="0.25"/>
    <row r="242" s="26" customFormat="1" x14ac:dyDescent="0.25"/>
    <row r="243" s="26" customFormat="1" x14ac:dyDescent="0.25"/>
    <row r="244" s="26" customFormat="1" x14ac:dyDescent="0.25"/>
    <row r="245" s="26" customFormat="1" x14ac:dyDescent="0.25"/>
    <row r="246" s="26" customFormat="1" x14ac:dyDescent="0.25"/>
    <row r="247" s="26" customFormat="1" x14ac:dyDescent="0.25"/>
    <row r="248" s="26" customFormat="1" x14ac:dyDescent="0.25"/>
    <row r="249" s="26" customFormat="1" x14ac:dyDescent="0.25"/>
    <row r="250" s="26" customFormat="1" x14ac:dyDescent="0.25"/>
    <row r="251" s="26" customFormat="1" x14ac:dyDescent="0.25"/>
    <row r="252" s="26" customFormat="1" x14ac:dyDescent="0.25"/>
    <row r="253" s="26" customFormat="1" x14ac:dyDescent="0.25"/>
    <row r="254" s="26" customFormat="1" x14ac:dyDescent="0.25"/>
    <row r="255" s="26" customFormat="1" x14ac:dyDescent="0.25"/>
    <row r="256" s="26" customFormat="1" x14ac:dyDescent="0.25"/>
    <row r="257" s="26" customFormat="1" x14ac:dyDescent="0.25"/>
    <row r="258" s="26" customFormat="1" x14ac:dyDescent="0.25"/>
    <row r="259" s="26" customFormat="1" x14ac:dyDescent="0.25"/>
    <row r="260" s="26" customFormat="1" x14ac:dyDescent="0.25"/>
    <row r="261" s="26" customFormat="1" x14ac:dyDescent="0.25"/>
    <row r="262" s="26" customFormat="1" x14ac:dyDescent="0.25"/>
    <row r="263" s="26" customFormat="1" x14ac:dyDescent="0.25"/>
    <row r="264" s="26" customFormat="1" x14ac:dyDescent="0.25"/>
    <row r="265" s="26" customFormat="1" x14ac:dyDescent="0.25"/>
    <row r="266" s="26" customFormat="1" x14ac:dyDescent="0.25"/>
    <row r="267" s="26" customFormat="1" x14ac:dyDescent="0.25"/>
    <row r="268" s="26" customFormat="1" x14ac:dyDescent="0.25"/>
    <row r="269" s="26" customFormat="1" x14ac:dyDescent="0.25"/>
    <row r="270" s="26" customFormat="1" x14ac:dyDescent="0.25"/>
    <row r="271" s="26" customFormat="1" x14ac:dyDescent="0.25"/>
    <row r="272" s="26" customFormat="1" x14ac:dyDescent="0.25"/>
    <row r="273" s="26" customFormat="1" x14ac:dyDescent="0.25"/>
    <row r="274" s="26" customFormat="1" x14ac:dyDescent="0.25"/>
    <row r="275" s="26" customFormat="1" x14ac:dyDescent="0.25"/>
    <row r="276" s="26" customFormat="1" x14ac:dyDescent="0.25"/>
    <row r="277" s="26" customFormat="1" x14ac:dyDescent="0.25"/>
    <row r="278" s="26" customFormat="1" x14ac:dyDescent="0.25"/>
    <row r="279" s="26" customFormat="1" x14ac:dyDescent="0.25"/>
    <row r="280" s="26" customFormat="1" x14ac:dyDescent="0.25"/>
    <row r="281" s="26" customFormat="1" x14ac:dyDescent="0.25"/>
    <row r="282" s="26" customFormat="1" x14ac:dyDescent="0.25"/>
    <row r="283" s="26" customFormat="1" x14ac:dyDescent="0.25"/>
    <row r="284" s="26" customFormat="1" x14ac:dyDescent="0.25"/>
    <row r="285" s="26" customFormat="1" x14ac:dyDescent="0.25"/>
    <row r="286" s="26" customFormat="1" x14ac:dyDescent="0.25"/>
    <row r="287" s="26" customFormat="1" x14ac:dyDescent="0.25"/>
    <row r="288" s="26" customFormat="1" x14ac:dyDescent="0.25"/>
    <row r="289" s="26" customFormat="1" x14ac:dyDescent="0.25"/>
    <row r="290" s="26" customFormat="1" x14ac:dyDescent="0.25"/>
    <row r="291" s="26" customFormat="1" x14ac:dyDescent="0.25"/>
    <row r="292" s="26" customFormat="1" x14ac:dyDescent="0.25"/>
    <row r="293" s="26" customFormat="1" x14ac:dyDescent="0.25"/>
    <row r="294" s="26" customFormat="1" x14ac:dyDescent="0.25"/>
    <row r="295" s="26" customFormat="1" x14ac:dyDescent="0.25"/>
    <row r="296" s="26" customFormat="1" x14ac:dyDescent="0.25"/>
    <row r="297" s="26" customFormat="1" x14ac:dyDescent="0.25"/>
    <row r="298" s="26" customFormat="1" x14ac:dyDescent="0.25"/>
    <row r="299" s="26" customFormat="1" x14ac:dyDescent="0.25"/>
    <row r="300" s="26" customFormat="1" x14ac:dyDescent="0.25"/>
    <row r="301" s="26" customFormat="1" x14ac:dyDescent="0.25"/>
    <row r="302" s="26" customFormat="1" x14ac:dyDescent="0.25"/>
    <row r="303" s="26" customFormat="1" x14ac:dyDescent="0.25"/>
    <row r="304" s="26" customFormat="1" x14ac:dyDescent="0.25"/>
    <row r="305" s="26" customFormat="1" x14ac:dyDescent="0.25"/>
    <row r="306" s="26" customFormat="1" x14ac:dyDescent="0.25"/>
    <row r="307" s="26" customFormat="1" x14ac:dyDescent="0.25"/>
    <row r="308" s="26" customFormat="1" x14ac:dyDescent="0.25"/>
    <row r="309" s="26" customFormat="1" x14ac:dyDescent="0.25"/>
    <row r="310" s="26" customFormat="1" x14ac:dyDescent="0.25"/>
    <row r="311" s="26" customFormat="1" x14ac:dyDescent="0.25"/>
    <row r="312" s="26" customFormat="1" x14ac:dyDescent="0.25"/>
    <row r="313" s="26" customFormat="1" x14ac:dyDescent="0.25"/>
    <row r="314" s="26" customFormat="1" x14ac:dyDescent="0.25"/>
    <row r="315" s="26" customFormat="1" x14ac:dyDescent="0.25"/>
    <row r="316" s="26" customFormat="1" x14ac:dyDescent="0.25"/>
    <row r="317" s="26" customFormat="1" x14ac:dyDescent="0.25"/>
    <row r="318" s="26" customFormat="1" x14ac:dyDescent="0.25"/>
    <row r="319" s="26" customFormat="1" x14ac:dyDescent="0.25"/>
    <row r="320" s="26" customFormat="1" x14ac:dyDescent="0.25"/>
    <row r="321" s="26" customFormat="1" x14ac:dyDescent="0.25"/>
    <row r="322" s="26" customFormat="1" x14ac:dyDescent="0.25"/>
    <row r="323" s="26" customFormat="1" x14ac:dyDescent="0.25"/>
    <row r="324" s="26" customFormat="1" x14ac:dyDescent="0.25"/>
    <row r="325" s="26" customFormat="1" x14ac:dyDescent="0.25"/>
    <row r="326" s="26" customFormat="1" x14ac:dyDescent="0.25"/>
    <row r="327" s="26" customFormat="1" x14ac:dyDescent="0.25"/>
    <row r="328" s="26" customFormat="1" x14ac:dyDescent="0.25"/>
    <row r="329" s="26" customFormat="1" x14ac:dyDescent="0.25"/>
    <row r="330" s="26" customFormat="1" x14ac:dyDescent="0.25"/>
    <row r="331" s="26" customFormat="1" x14ac:dyDescent="0.25"/>
    <row r="332" s="26" customFormat="1" x14ac:dyDescent="0.25"/>
    <row r="333" s="26" customFormat="1" x14ac:dyDescent="0.25"/>
    <row r="334" s="26" customFormat="1" x14ac:dyDescent="0.25"/>
    <row r="335" s="26" customFormat="1" x14ac:dyDescent="0.25"/>
    <row r="336" s="26" customFormat="1" x14ac:dyDescent="0.25"/>
    <row r="337" s="26" customFormat="1" x14ac:dyDescent="0.25"/>
    <row r="338" s="26" customFormat="1" x14ac:dyDescent="0.25"/>
    <row r="339" s="26" customFormat="1" x14ac:dyDescent="0.25"/>
    <row r="340" s="26" customFormat="1" x14ac:dyDescent="0.25"/>
    <row r="341" s="26" customFormat="1" x14ac:dyDescent="0.25"/>
    <row r="342" s="26" customFormat="1" x14ac:dyDescent="0.25"/>
    <row r="343" s="26" customFormat="1" x14ac:dyDescent="0.25"/>
    <row r="344" s="26" customFormat="1" x14ac:dyDescent="0.25"/>
    <row r="345" s="26" customFormat="1" x14ac:dyDescent="0.25"/>
    <row r="346" s="26" customFormat="1" x14ac:dyDescent="0.25"/>
    <row r="347" s="26" customFormat="1" x14ac:dyDescent="0.25"/>
    <row r="348" s="26" customFormat="1" x14ac:dyDescent="0.25"/>
    <row r="349" s="26" customFormat="1" x14ac:dyDescent="0.25"/>
    <row r="350" s="26" customFormat="1" x14ac:dyDescent="0.25"/>
    <row r="351" s="26" customFormat="1" x14ac:dyDescent="0.25"/>
    <row r="352" s="26" customFormat="1" x14ac:dyDescent="0.25"/>
    <row r="353" s="26" customFormat="1" x14ac:dyDescent="0.25"/>
    <row r="354" s="26" customFormat="1" x14ac:dyDescent="0.25"/>
    <row r="355" s="26" customFormat="1" x14ac:dyDescent="0.25"/>
    <row r="356" s="26" customFormat="1" x14ac:dyDescent="0.25"/>
    <row r="357" s="26" customFormat="1" x14ac:dyDescent="0.25"/>
    <row r="358" s="26" customFormat="1" x14ac:dyDescent="0.25"/>
    <row r="359" s="26" customFormat="1" x14ac:dyDescent="0.25"/>
    <row r="360" s="26" customFormat="1" x14ac:dyDescent="0.25"/>
    <row r="361" s="26" customFormat="1" x14ac:dyDescent="0.25"/>
    <row r="362" s="26" customFormat="1" x14ac:dyDescent="0.25"/>
    <row r="363" s="26" customFormat="1" x14ac:dyDescent="0.25"/>
    <row r="364" s="26" customFormat="1" x14ac:dyDescent="0.25"/>
    <row r="365" s="26" customFormat="1" x14ac:dyDescent="0.25"/>
    <row r="366" s="26" customFormat="1" x14ac:dyDescent="0.25"/>
    <row r="367" s="26" customFormat="1" x14ac:dyDescent="0.25"/>
    <row r="368" s="26" customFormat="1" x14ac:dyDescent="0.25"/>
    <row r="369" s="26" customFormat="1" x14ac:dyDescent="0.25"/>
    <row r="370" s="26" customFormat="1" x14ac:dyDescent="0.25"/>
    <row r="371" s="26" customFormat="1" x14ac:dyDescent="0.25"/>
    <row r="372" s="26" customFormat="1" x14ac:dyDescent="0.25"/>
    <row r="373" s="26" customFormat="1" x14ac:dyDescent="0.25"/>
    <row r="374" s="26" customFormat="1" x14ac:dyDescent="0.25"/>
    <row r="375" s="26" customFormat="1" x14ac:dyDescent="0.25"/>
    <row r="376" s="26" customFormat="1" x14ac:dyDescent="0.25"/>
    <row r="377" s="26" customFormat="1" x14ac:dyDescent="0.25"/>
    <row r="378" s="26" customFormat="1" x14ac:dyDescent="0.25"/>
    <row r="379" s="26" customFormat="1" x14ac:dyDescent="0.25"/>
    <row r="380" s="26" customFormat="1" x14ac:dyDescent="0.25"/>
    <row r="381" s="26" customFormat="1" x14ac:dyDescent="0.25"/>
    <row r="382" s="26" customFormat="1" x14ac:dyDescent="0.25"/>
    <row r="383" s="26" customFormat="1" x14ac:dyDescent="0.25"/>
    <row r="384" s="26" customFormat="1" x14ac:dyDescent="0.25"/>
    <row r="385" s="26" customFormat="1" x14ac:dyDescent="0.25"/>
    <row r="386" s="26" customFormat="1" x14ac:dyDescent="0.25"/>
    <row r="387" s="26" customFormat="1" x14ac:dyDescent="0.25"/>
    <row r="388" s="26" customFormat="1" x14ac:dyDescent="0.25"/>
    <row r="389" s="26" customFormat="1" x14ac:dyDescent="0.25"/>
    <row r="390" s="26" customFormat="1" x14ac:dyDescent="0.25"/>
    <row r="391" s="26" customFormat="1" x14ac:dyDescent="0.25"/>
    <row r="392" s="26" customFormat="1" x14ac:dyDescent="0.25"/>
    <row r="393" s="26" customFormat="1" x14ac:dyDescent="0.25"/>
    <row r="394" s="26" customFormat="1" x14ac:dyDescent="0.25"/>
    <row r="395" s="26" customFormat="1" x14ac:dyDescent="0.25"/>
    <row r="396" s="26" customFormat="1" x14ac:dyDescent="0.25"/>
    <row r="397" s="26" customFormat="1" x14ac:dyDescent="0.25"/>
    <row r="398" s="26" customFormat="1" x14ac:dyDescent="0.25"/>
    <row r="399" s="26" customFormat="1" x14ac:dyDescent="0.25"/>
    <row r="400" s="26" customFormat="1" x14ac:dyDescent="0.25"/>
    <row r="401" s="26" customFormat="1" x14ac:dyDescent="0.25"/>
    <row r="402" s="26" customFormat="1" x14ac:dyDescent="0.25"/>
    <row r="403" s="26" customFormat="1" x14ac:dyDescent="0.25"/>
    <row r="404" s="26" customFormat="1" x14ac:dyDescent="0.25"/>
    <row r="405" s="26" customFormat="1" x14ac:dyDescent="0.25"/>
    <row r="406" s="26" customFormat="1" x14ac:dyDescent="0.25"/>
    <row r="407" s="26" customFormat="1" x14ac:dyDescent="0.25"/>
    <row r="408" s="26" customFormat="1" x14ac:dyDescent="0.25"/>
    <row r="409" s="26" customFormat="1" x14ac:dyDescent="0.25"/>
    <row r="410" s="26" customFormat="1" x14ac:dyDescent="0.25"/>
    <row r="411" s="26" customFormat="1" x14ac:dyDescent="0.25"/>
    <row r="412" s="26" customFormat="1" x14ac:dyDescent="0.25"/>
    <row r="413" s="26" customFormat="1" x14ac:dyDescent="0.25"/>
    <row r="414" s="26" customFormat="1" x14ac:dyDescent="0.25"/>
    <row r="415" s="26" customFormat="1" x14ac:dyDescent="0.25"/>
    <row r="416" s="26" customFormat="1" x14ac:dyDescent="0.25"/>
    <row r="417" s="26" customFormat="1" x14ac:dyDescent="0.25"/>
    <row r="418" s="26" customFormat="1" x14ac:dyDescent="0.25"/>
    <row r="419" s="26" customFormat="1" x14ac:dyDescent="0.25"/>
    <row r="420" s="26" customFormat="1" x14ac:dyDescent="0.25"/>
    <row r="421" s="26" customFormat="1" x14ac:dyDescent="0.25"/>
    <row r="422" s="26" customFormat="1" x14ac:dyDescent="0.25"/>
    <row r="423" s="26" customFormat="1" x14ac:dyDescent="0.25"/>
    <row r="424" s="26" customFormat="1" x14ac:dyDescent="0.25"/>
    <row r="425" s="26" customFormat="1" x14ac:dyDescent="0.25"/>
    <row r="426" s="26" customFormat="1" x14ac:dyDescent="0.25"/>
    <row r="427" s="26" customFormat="1" x14ac:dyDescent="0.25"/>
    <row r="428" s="26" customFormat="1" x14ac:dyDescent="0.25"/>
    <row r="429" s="26" customFormat="1" x14ac:dyDescent="0.25"/>
    <row r="430" s="26" customFormat="1" x14ac:dyDescent="0.25"/>
    <row r="431" s="26" customFormat="1" x14ac:dyDescent="0.25"/>
    <row r="432" s="26" customFormat="1" x14ac:dyDescent="0.25"/>
    <row r="433" s="26" customFormat="1" x14ac:dyDescent="0.25"/>
    <row r="434" s="26" customFormat="1" x14ac:dyDescent="0.25"/>
    <row r="435" s="26" customFormat="1" x14ac:dyDescent="0.25"/>
    <row r="436" s="26" customFormat="1" x14ac:dyDescent="0.25"/>
    <row r="437" s="26" customFormat="1" x14ac:dyDescent="0.25"/>
    <row r="438" s="26" customFormat="1" x14ac:dyDescent="0.25"/>
    <row r="439" s="26" customFormat="1" x14ac:dyDescent="0.25"/>
    <row r="440" s="26" customFormat="1" x14ac:dyDescent="0.25"/>
    <row r="441" s="26" customFormat="1" x14ac:dyDescent="0.25"/>
    <row r="442" s="26" customFormat="1" x14ac:dyDescent="0.25"/>
    <row r="443" s="26" customFormat="1" x14ac:dyDescent="0.25"/>
    <row r="444" s="26" customFormat="1" x14ac:dyDescent="0.25"/>
    <row r="445" s="26" customFormat="1" x14ac:dyDescent="0.25"/>
    <row r="446" s="26" customFormat="1" x14ac:dyDescent="0.25"/>
    <row r="447" s="26" customFormat="1" x14ac:dyDescent="0.25"/>
    <row r="448" s="26" customFormat="1" x14ac:dyDescent="0.25"/>
    <row r="449" s="26" customFormat="1" x14ac:dyDescent="0.25"/>
    <row r="450" s="26" customFormat="1" x14ac:dyDescent="0.25"/>
    <row r="451" s="26" customFormat="1" x14ac:dyDescent="0.25"/>
    <row r="452" s="26" customFormat="1" x14ac:dyDescent="0.25"/>
    <row r="453" s="26" customFormat="1" x14ac:dyDescent="0.25"/>
    <row r="454" s="26" customFormat="1" x14ac:dyDescent="0.25"/>
    <row r="455" s="26" customFormat="1" x14ac:dyDescent="0.25"/>
    <row r="456" s="26" customFormat="1" x14ac:dyDescent="0.25"/>
    <row r="457" s="26" customFormat="1" x14ac:dyDescent="0.25"/>
    <row r="458" s="26" customFormat="1" x14ac:dyDescent="0.25"/>
    <row r="459" s="26" customFormat="1" x14ac:dyDescent="0.25"/>
    <row r="460" s="26" customFormat="1" x14ac:dyDescent="0.25"/>
    <row r="461" s="26" customFormat="1" x14ac:dyDescent="0.25"/>
    <row r="462" s="26" customFormat="1" x14ac:dyDescent="0.25"/>
    <row r="463" s="26" customFormat="1" x14ac:dyDescent="0.25"/>
    <row r="464" s="26" customFormat="1" x14ac:dyDescent="0.25"/>
    <row r="465" s="26" customFormat="1" x14ac:dyDescent="0.25"/>
    <row r="466" s="26" customFormat="1" x14ac:dyDescent="0.25"/>
    <row r="467" s="26" customFormat="1" x14ac:dyDescent="0.25"/>
    <row r="468" s="26" customFormat="1" x14ac:dyDescent="0.25"/>
    <row r="469" s="26" customFormat="1" x14ac:dyDescent="0.25"/>
    <row r="470" s="26" customFormat="1" x14ac:dyDescent="0.25"/>
    <row r="471" s="26" customFormat="1" x14ac:dyDescent="0.25"/>
    <row r="472" s="26" customFormat="1" x14ac:dyDescent="0.25"/>
    <row r="473" s="26" customFormat="1" x14ac:dyDescent="0.25"/>
    <row r="474" s="26" customFormat="1" x14ac:dyDescent="0.25"/>
    <row r="475" s="26" customFormat="1" x14ac:dyDescent="0.25"/>
    <row r="476" s="26" customFormat="1" x14ac:dyDescent="0.25"/>
    <row r="477" s="26" customFormat="1" x14ac:dyDescent="0.25"/>
    <row r="478" s="26" customFormat="1" x14ac:dyDescent="0.25"/>
    <row r="479" s="26" customFormat="1" x14ac:dyDescent="0.25"/>
    <row r="480" s="26" customFormat="1" x14ac:dyDescent="0.25"/>
    <row r="481" s="26" customFormat="1" x14ac:dyDescent="0.25"/>
    <row r="482" s="26" customFormat="1" x14ac:dyDescent="0.25"/>
    <row r="483" s="26" customFormat="1" x14ac:dyDescent="0.25"/>
    <row r="484" s="26" customFormat="1" x14ac:dyDescent="0.25"/>
    <row r="485" s="26" customFormat="1" x14ac:dyDescent="0.25"/>
    <row r="486" s="26" customFormat="1" x14ac:dyDescent="0.25"/>
    <row r="487" s="26" customFormat="1" x14ac:dyDescent="0.25"/>
    <row r="488" s="26" customFormat="1" x14ac:dyDescent="0.25"/>
    <row r="489" s="26" customFormat="1" x14ac:dyDescent="0.25"/>
    <row r="490" s="26" customFormat="1" x14ac:dyDescent="0.25"/>
    <row r="491" s="26" customFormat="1" x14ac:dyDescent="0.25"/>
    <row r="492" s="26" customFormat="1" x14ac:dyDescent="0.25"/>
    <row r="493" s="26" customFormat="1" x14ac:dyDescent="0.25"/>
    <row r="494" s="26" customFormat="1" x14ac:dyDescent="0.25"/>
    <row r="495" s="26" customFormat="1" x14ac:dyDescent="0.25"/>
    <row r="496" s="26" customFormat="1" x14ac:dyDescent="0.25"/>
    <row r="497" s="26" customFormat="1" x14ac:dyDescent="0.25"/>
    <row r="498" s="26" customFormat="1" x14ac:dyDescent="0.25"/>
    <row r="499" s="26" customFormat="1" x14ac:dyDescent="0.25"/>
    <row r="500" s="26" customFormat="1" x14ac:dyDescent="0.25"/>
    <row r="501" s="26" customFormat="1" x14ac:dyDescent="0.25"/>
    <row r="502" s="26" customFormat="1" x14ac:dyDescent="0.25"/>
    <row r="503" s="26" customFormat="1" x14ac:dyDescent="0.25"/>
    <row r="504" s="26" customFormat="1" x14ac:dyDescent="0.25"/>
    <row r="505" s="26" customFormat="1" x14ac:dyDescent="0.25"/>
    <row r="506" s="26" customFormat="1" x14ac:dyDescent="0.25"/>
    <row r="507" s="26" customFormat="1" x14ac:dyDescent="0.25"/>
    <row r="508" s="26" customFormat="1" x14ac:dyDescent="0.25"/>
    <row r="509" s="26" customFormat="1" x14ac:dyDescent="0.25"/>
    <row r="510" s="26" customFormat="1" x14ac:dyDescent="0.25"/>
    <row r="511" s="26" customFormat="1" x14ac:dyDescent="0.25"/>
    <row r="512" s="26" customFormat="1" x14ac:dyDescent="0.25"/>
    <row r="513" s="26" customFormat="1" x14ac:dyDescent="0.25"/>
    <row r="514" s="26" customFormat="1" x14ac:dyDescent="0.25"/>
    <row r="515" s="26" customFormat="1" x14ac:dyDescent="0.25"/>
    <row r="516" s="26" customFormat="1" x14ac:dyDescent="0.25"/>
    <row r="517" s="26" customFormat="1" x14ac:dyDescent="0.25"/>
    <row r="518" s="26" customFormat="1" x14ac:dyDescent="0.25"/>
    <row r="519" s="26" customFormat="1" x14ac:dyDescent="0.25"/>
    <row r="520" s="26" customFormat="1" x14ac:dyDescent="0.25"/>
    <row r="521" s="26" customFormat="1" x14ac:dyDescent="0.25"/>
    <row r="522" s="26" customFormat="1" x14ac:dyDescent="0.25"/>
    <row r="523" s="26" customFormat="1" x14ac:dyDescent="0.25"/>
    <row r="524" s="26" customFormat="1" x14ac:dyDescent="0.25"/>
    <row r="525" s="26" customFormat="1" x14ac:dyDescent="0.25"/>
    <row r="526" s="26" customFormat="1" x14ac:dyDescent="0.25"/>
    <row r="527" s="26" customFormat="1" x14ac:dyDescent="0.25"/>
    <row r="528" s="26" customFormat="1" x14ac:dyDescent="0.25"/>
    <row r="529" s="26" customFormat="1" x14ac:dyDescent="0.25"/>
    <row r="530" s="26" customFormat="1" x14ac:dyDescent="0.25"/>
    <row r="531" s="26" customFormat="1" x14ac:dyDescent="0.25"/>
    <row r="532" s="26" customFormat="1" x14ac:dyDescent="0.25"/>
    <row r="533" s="26" customFormat="1" x14ac:dyDescent="0.25"/>
    <row r="534" s="26" customFormat="1" x14ac:dyDescent="0.25"/>
    <row r="535" s="26" customFormat="1" x14ac:dyDescent="0.25"/>
    <row r="536" s="26" customFormat="1" x14ac:dyDescent="0.25"/>
    <row r="537" s="26" customFormat="1" x14ac:dyDescent="0.25"/>
    <row r="538" s="26" customFormat="1" x14ac:dyDescent="0.25"/>
    <row r="539" s="26" customFormat="1" x14ac:dyDescent="0.25"/>
    <row r="540" s="26" customFormat="1" x14ac:dyDescent="0.25"/>
    <row r="541" s="26" customFormat="1" x14ac:dyDescent="0.25"/>
    <row r="542" s="26" customFormat="1" x14ac:dyDescent="0.25"/>
    <row r="543" s="26" customFormat="1" x14ac:dyDescent="0.25"/>
    <row r="544" s="26" customFormat="1" x14ac:dyDescent="0.25"/>
    <row r="545" s="26" customFormat="1" x14ac:dyDescent="0.25"/>
    <row r="546" s="26" customFormat="1" x14ac:dyDescent="0.25"/>
    <row r="547" s="26" customFormat="1" x14ac:dyDescent="0.25"/>
    <row r="548" s="26" customFormat="1" x14ac:dyDescent="0.25"/>
    <row r="549" s="26" customFormat="1" x14ac:dyDescent="0.25"/>
    <row r="550" s="26" customFormat="1" x14ac:dyDescent="0.25"/>
    <row r="551" s="26" customFormat="1" x14ac:dyDescent="0.25"/>
    <row r="552" s="26" customFormat="1" x14ac:dyDescent="0.25"/>
    <row r="553" s="26" customFormat="1" x14ac:dyDescent="0.25"/>
    <row r="554" s="26" customFormat="1" x14ac:dyDescent="0.25"/>
    <row r="555" s="26" customFormat="1" x14ac:dyDescent="0.25"/>
    <row r="556" s="26" customFormat="1" x14ac:dyDescent="0.25"/>
    <row r="557" s="26" customFormat="1" x14ac:dyDescent="0.25"/>
    <row r="558" s="26" customFormat="1" x14ac:dyDescent="0.25"/>
    <row r="559" s="26" customFormat="1" x14ac:dyDescent="0.25"/>
    <row r="560" s="26" customFormat="1" x14ac:dyDescent="0.25"/>
    <row r="561" s="26" customFormat="1" x14ac:dyDescent="0.25"/>
    <row r="562" s="26" customFormat="1" x14ac:dyDescent="0.25"/>
    <row r="563" s="26" customFormat="1" x14ac:dyDescent="0.25"/>
    <row r="564" s="26" customFormat="1" x14ac:dyDescent="0.25"/>
    <row r="565" s="26" customFormat="1" x14ac:dyDescent="0.25"/>
    <row r="566" s="26" customFormat="1" x14ac:dyDescent="0.25"/>
    <row r="567" s="26" customFormat="1" x14ac:dyDescent="0.25"/>
    <row r="568" s="26" customFormat="1" x14ac:dyDescent="0.25"/>
    <row r="569" s="26" customFormat="1" x14ac:dyDescent="0.25"/>
    <row r="570" s="26" customFormat="1" x14ac:dyDescent="0.25"/>
    <row r="571" s="26" customFormat="1" x14ac:dyDescent="0.25"/>
    <row r="572" s="26" customFormat="1" x14ac:dyDescent="0.25"/>
    <row r="573" s="26" customFormat="1" x14ac:dyDescent="0.25"/>
    <row r="574" s="26" customFormat="1" x14ac:dyDescent="0.25"/>
    <row r="575" s="26" customFormat="1" x14ac:dyDescent="0.25"/>
    <row r="576" s="26" customFormat="1" x14ac:dyDescent="0.25"/>
    <row r="577" s="26" customFormat="1" x14ac:dyDescent="0.25"/>
    <row r="578" s="26" customFormat="1" x14ac:dyDescent="0.25"/>
    <row r="579" s="26" customFormat="1" x14ac:dyDescent="0.25"/>
    <row r="580" s="26" customFormat="1" x14ac:dyDescent="0.25"/>
    <row r="581" s="26" customFormat="1" x14ac:dyDescent="0.25"/>
    <row r="582" s="26" customFormat="1" x14ac:dyDescent="0.25"/>
    <row r="583" s="26" customFormat="1" x14ac:dyDescent="0.25"/>
    <row r="584" s="26" customFormat="1" x14ac:dyDescent="0.25"/>
    <row r="585" s="26" customFormat="1" x14ac:dyDescent="0.25"/>
    <row r="586" s="26" customFormat="1" x14ac:dyDescent="0.25"/>
    <row r="587" s="26" customFormat="1" x14ac:dyDescent="0.25"/>
    <row r="588" s="26" customFormat="1" x14ac:dyDescent="0.25"/>
    <row r="589" s="26" customFormat="1" x14ac:dyDescent="0.25"/>
    <row r="590" s="26" customFormat="1" x14ac:dyDescent="0.25"/>
    <row r="591" s="26" customFormat="1" x14ac:dyDescent="0.25"/>
    <row r="592" s="26" customFormat="1" x14ac:dyDescent="0.25"/>
    <row r="593" s="26" customFormat="1" x14ac:dyDescent="0.25"/>
    <row r="594" s="26" customFormat="1" x14ac:dyDescent="0.25"/>
    <row r="595" s="26" customFormat="1" x14ac:dyDescent="0.25"/>
    <row r="596" s="26" customFormat="1" x14ac:dyDescent="0.25"/>
    <row r="597" s="26" customFormat="1" x14ac:dyDescent="0.25"/>
    <row r="598" s="26" customFormat="1" x14ac:dyDescent="0.25"/>
    <row r="599" s="26" customFormat="1" x14ac:dyDescent="0.25"/>
    <row r="600" s="26" customFormat="1" x14ac:dyDescent="0.25"/>
    <row r="601" s="26" customFormat="1" x14ac:dyDescent="0.25"/>
    <row r="602" s="26" customFormat="1" x14ac:dyDescent="0.25"/>
    <row r="603" s="26" customFormat="1" x14ac:dyDescent="0.25"/>
    <row r="604" s="26" customFormat="1" x14ac:dyDescent="0.25"/>
    <row r="605" s="26" customFormat="1" x14ac:dyDescent="0.25"/>
    <row r="606" s="26" customFormat="1" x14ac:dyDescent="0.25"/>
    <row r="607" s="26" customFormat="1" x14ac:dyDescent="0.25"/>
    <row r="608" s="26" customFormat="1" x14ac:dyDescent="0.25"/>
    <row r="609" s="26" customFormat="1" x14ac:dyDescent="0.25"/>
    <row r="610" s="26" customFormat="1" x14ac:dyDescent="0.25"/>
    <row r="611" s="26" customFormat="1" x14ac:dyDescent="0.25"/>
    <row r="612" s="26" customFormat="1" x14ac:dyDescent="0.25"/>
    <row r="613" s="26" customFormat="1" x14ac:dyDescent="0.25"/>
    <row r="614" s="26" customFormat="1" x14ac:dyDescent="0.25"/>
    <row r="615" s="26" customFormat="1" x14ac:dyDescent="0.25"/>
    <row r="616" s="26" customFormat="1" x14ac:dyDescent="0.25"/>
    <row r="617" s="26" customFormat="1" x14ac:dyDescent="0.25"/>
    <row r="618" s="26" customFormat="1" x14ac:dyDescent="0.25"/>
    <row r="619" s="26" customFormat="1" x14ac:dyDescent="0.25"/>
    <row r="620" s="26" customFormat="1" x14ac:dyDescent="0.25"/>
    <row r="621" s="26" customFormat="1" x14ac:dyDescent="0.25"/>
    <row r="622" s="26" customFormat="1" x14ac:dyDescent="0.25"/>
    <row r="623" s="26" customFormat="1" x14ac:dyDescent="0.25"/>
    <row r="624" s="26" customFormat="1" x14ac:dyDescent="0.25"/>
    <row r="625" s="26" customFormat="1" x14ac:dyDescent="0.25"/>
    <row r="626" s="26" customFormat="1" x14ac:dyDescent="0.25"/>
    <row r="627" s="26" customFormat="1" x14ac:dyDescent="0.25"/>
    <row r="628" s="26" customFormat="1" x14ac:dyDescent="0.25"/>
    <row r="629" s="26" customFormat="1" x14ac:dyDescent="0.25"/>
    <row r="630" s="26" customFormat="1" x14ac:dyDescent="0.25"/>
    <row r="631" s="26" customFormat="1" x14ac:dyDescent="0.25"/>
    <row r="632" s="26" customFormat="1" x14ac:dyDescent="0.25"/>
    <row r="633" s="26" customFormat="1" x14ac:dyDescent="0.25"/>
    <row r="634" s="26" customFormat="1" x14ac:dyDescent="0.25"/>
    <row r="635" s="26" customFormat="1" x14ac:dyDescent="0.25"/>
    <row r="636" s="26" customFormat="1" x14ac:dyDescent="0.25"/>
    <row r="637" s="26" customFormat="1" x14ac:dyDescent="0.25"/>
    <row r="638" s="26" customFormat="1" x14ac:dyDescent="0.25"/>
    <row r="639" s="26" customFormat="1" x14ac:dyDescent="0.25"/>
    <row r="640" s="26" customFormat="1" x14ac:dyDescent="0.25"/>
    <row r="641" s="26" customFormat="1" x14ac:dyDescent="0.25"/>
    <row r="642" s="26" customFormat="1" x14ac:dyDescent="0.25"/>
    <row r="643" s="26" customFormat="1" x14ac:dyDescent="0.25"/>
    <row r="644" s="26" customFormat="1" x14ac:dyDescent="0.25"/>
    <row r="645" s="26" customFormat="1" x14ac:dyDescent="0.25"/>
    <row r="646" s="26" customFormat="1" x14ac:dyDescent="0.25"/>
    <row r="647" s="26" customFormat="1" x14ac:dyDescent="0.25"/>
    <row r="648" s="26" customFormat="1" x14ac:dyDescent="0.25"/>
    <row r="649" s="26" customFormat="1" x14ac:dyDescent="0.25"/>
    <row r="650" s="26" customFormat="1" x14ac:dyDescent="0.25"/>
    <row r="651" s="26" customFormat="1" x14ac:dyDescent="0.25"/>
    <row r="652" s="26" customFormat="1" x14ac:dyDescent="0.25"/>
    <row r="653" s="26" customFormat="1" x14ac:dyDescent="0.25"/>
    <row r="654" s="26" customFormat="1" x14ac:dyDescent="0.25"/>
    <row r="655" s="26" customFormat="1" x14ac:dyDescent="0.25"/>
    <row r="656" s="26" customFormat="1" x14ac:dyDescent="0.25"/>
    <row r="657" s="26" customFormat="1" x14ac:dyDescent="0.25"/>
    <row r="658" s="26" customFormat="1" x14ac:dyDescent="0.25"/>
    <row r="659" s="26" customFormat="1" x14ac:dyDescent="0.25"/>
    <row r="660" s="26" customFormat="1" x14ac:dyDescent="0.25"/>
    <row r="661" s="26" customFormat="1" x14ac:dyDescent="0.25"/>
    <row r="662" s="26" customFormat="1" x14ac:dyDescent="0.25"/>
    <row r="663" s="26" customFormat="1" x14ac:dyDescent="0.25"/>
    <row r="664" s="26" customFormat="1" x14ac:dyDescent="0.25"/>
    <row r="665" s="26" customFormat="1" x14ac:dyDescent="0.25"/>
    <row r="666" s="26" customFormat="1" x14ac:dyDescent="0.25"/>
    <row r="667" s="26" customFormat="1" x14ac:dyDescent="0.25"/>
    <row r="668" s="26" customFormat="1" x14ac:dyDescent="0.25"/>
    <row r="669" s="26" customFormat="1" x14ac:dyDescent="0.25"/>
    <row r="670" s="26" customFormat="1" x14ac:dyDescent="0.25"/>
    <row r="671" s="26" customFormat="1" x14ac:dyDescent="0.25"/>
    <row r="672" s="26" customFormat="1" x14ac:dyDescent="0.25"/>
    <row r="673" s="26" customFormat="1" x14ac:dyDescent="0.25"/>
    <row r="674" s="26" customFormat="1" x14ac:dyDescent="0.25"/>
    <row r="675" s="26" customFormat="1" x14ac:dyDescent="0.25"/>
    <row r="676" s="26" customFormat="1" x14ac:dyDescent="0.25"/>
    <row r="677" s="26" customFormat="1" x14ac:dyDescent="0.25"/>
    <row r="678" s="26" customFormat="1" x14ac:dyDescent="0.25"/>
    <row r="679" s="26" customFormat="1" x14ac:dyDescent="0.25"/>
    <row r="680" s="26" customFormat="1" x14ac:dyDescent="0.25"/>
    <row r="681" s="26" customFormat="1" x14ac:dyDescent="0.25"/>
    <row r="682" s="26" customFormat="1" x14ac:dyDescent="0.25"/>
    <row r="683" s="26" customFormat="1" x14ac:dyDescent="0.25"/>
    <row r="684" s="26" customFormat="1" x14ac:dyDescent="0.25"/>
    <row r="685" s="26" customFormat="1" x14ac:dyDescent="0.25"/>
    <row r="686" s="26" customFormat="1" x14ac:dyDescent="0.25"/>
    <row r="687" s="26" customFormat="1" x14ac:dyDescent="0.25"/>
    <row r="688" s="26" customFormat="1" x14ac:dyDescent="0.25"/>
    <row r="689" s="26" customFormat="1" x14ac:dyDescent="0.25"/>
    <row r="690" s="26" customFormat="1" x14ac:dyDescent="0.25"/>
    <row r="691" s="26" customFormat="1" x14ac:dyDescent="0.25"/>
    <row r="692" s="26" customFormat="1" x14ac:dyDescent="0.25"/>
    <row r="693" s="26" customFormat="1" x14ac:dyDescent="0.25"/>
    <row r="694" s="26" customFormat="1" x14ac:dyDescent="0.25"/>
    <row r="695" s="26" customFormat="1" x14ac:dyDescent="0.25"/>
    <row r="696" s="26" customFormat="1" x14ac:dyDescent="0.25"/>
    <row r="697" s="26" customFormat="1" x14ac:dyDescent="0.25"/>
    <row r="698" s="26" customFormat="1" x14ac:dyDescent="0.25"/>
    <row r="699" s="26" customFormat="1" x14ac:dyDescent="0.25"/>
    <row r="700" s="26" customFormat="1" x14ac:dyDescent="0.25"/>
    <row r="701" s="26" customFormat="1" x14ac:dyDescent="0.25"/>
    <row r="702" s="26" customFormat="1" x14ac:dyDescent="0.25"/>
    <row r="703" s="26" customFormat="1" x14ac:dyDescent="0.25"/>
    <row r="704" s="26" customFormat="1" x14ac:dyDescent="0.25"/>
    <row r="705" s="26" customFormat="1" x14ac:dyDescent="0.25"/>
    <row r="706" s="26" customFormat="1" x14ac:dyDescent="0.25"/>
    <row r="707" s="26" customFormat="1" x14ac:dyDescent="0.25"/>
    <row r="708" s="26" customFormat="1" x14ac:dyDescent="0.25"/>
    <row r="709" s="26" customFormat="1" x14ac:dyDescent="0.25"/>
    <row r="710" s="26" customFormat="1" x14ac:dyDescent="0.25"/>
    <row r="711" s="26" customFormat="1" x14ac:dyDescent="0.25"/>
    <row r="712" s="26" customFormat="1" x14ac:dyDescent="0.25"/>
    <row r="713" s="26" customFormat="1" x14ac:dyDescent="0.25"/>
    <row r="714" s="26" customFormat="1" x14ac:dyDescent="0.25"/>
    <row r="715" s="26" customFormat="1" x14ac:dyDescent="0.25"/>
    <row r="716" s="26" customFormat="1" x14ac:dyDescent="0.25"/>
    <row r="717" s="26" customFormat="1" x14ac:dyDescent="0.25"/>
    <row r="718" s="26" customFormat="1" x14ac:dyDescent="0.25"/>
    <row r="719" s="26" customFormat="1" x14ac:dyDescent="0.25"/>
    <row r="720" s="26" customFormat="1" x14ac:dyDescent="0.25"/>
    <row r="721" s="26" customFormat="1" x14ac:dyDescent="0.25"/>
    <row r="722" s="26" customFormat="1" x14ac:dyDescent="0.25"/>
    <row r="723" s="26" customFormat="1" x14ac:dyDescent="0.25"/>
    <row r="724" s="26" customFormat="1" x14ac:dyDescent="0.25"/>
    <row r="725" s="26" customFormat="1" x14ac:dyDescent="0.25"/>
    <row r="726" s="26" customFormat="1" x14ac:dyDescent="0.25"/>
    <row r="727" s="26" customFormat="1" x14ac:dyDescent="0.25"/>
    <row r="728" s="26" customFormat="1" x14ac:dyDescent="0.25"/>
    <row r="729" s="26" customFormat="1" x14ac:dyDescent="0.25"/>
    <row r="730" s="26" customFormat="1" x14ac:dyDescent="0.25"/>
    <row r="731" s="26" customFormat="1" x14ac:dyDescent="0.25"/>
    <row r="732" s="26" customFormat="1" x14ac:dyDescent="0.25"/>
    <row r="733" s="26" customFormat="1" x14ac:dyDescent="0.25"/>
    <row r="734" s="26" customFormat="1" x14ac:dyDescent="0.25"/>
    <row r="735" s="26" customFormat="1" x14ac:dyDescent="0.25"/>
    <row r="736" s="26" customFormat="1" x14ac:dyDescent="0.25"/>
    <row r="737" s="26" customFormat="1" x14ac:dyDescent="0.25"/>
    <row r="738" s="26" customFormat="1" x14ac:dyDescent="0.25"/>
    <row r="739" s="26" customFormat="1" x14ac:dyDescent="0.25"/>
    <row r="740" s="26" customFormat="1" x14ac:dyDescent="0.25"/>
    <row r="741" s="26" customFormat="1" x14ac:dyDescent="0.25"/>
    <row r="742" s="26" customFormat="1" x14ac:dyDescent="0.25"/>
    <row r="743" s="26" customFormat="1" x14ac:dyDescent="0.25"/>
    <row r="744" s="26" customFormat="1" x14ac:dyDescent="0.25"/>
    <row r="745" s="26" customFormat="1" x14ac:dyDescent="0.25"/>
    <row r="746" s="26" customFormat="1" x14ac:dyDescent="0.25"/>
    <row r="747" s="26" customFormat="1" x14ac:dyDescent="0.25"/>
    <row r="748" s="26" customFormat="1" x14ac:dyDescent="0.25"/>
    <row r="749" s="26" customFormat="1" x14ac:dyDescent="0.25"/>
    <row r="750" s="26" customFormat="1" x14ac:dyDescent="0.25"/>
    <row r="751" s="26" customFormat="1" x14ac:dyDescent="0.25"/>
    <row r="752" s="26" customFormat="1" x14ac:dyDescent="0.25"/>
    <row r="753" s="26" customFormat="1" x14ac:dyDescent="0.25"/>
    <row r="754" s="26" customFormat="1" x14ac:dyDescent="0.25"/>
    <row r="755" s="26" customFormat="1" x14ac:dyDescent="0.25"/>
    <row r="756" s="26" customFormat="1" x14ac:dyDescent="0.25"/>
    <row r="757" s="26" customFormat="1" x14ac:dyDescent="0.25"/>
    <row r="758" s="26" customFormat="1" x14ac:dyDescent="0.25"/>
    <row r="759" s="26" customFormat="1" x14ac:dyDescent="0.25"/>
    <row r="760" s="26" customFormat="1" x14ac:dyDescent="0.25"/>
    <row r="761" s="26" customFormat="1" x14ac:dyDescent="0.25"/>
    <row r="762" s="26" customFormat="1" x14ac:dyDescent="0.25"/>
    <row r="763" s="26" customFormat="1" x14ac:dyDescent="0.25"/>
    <row r="764" s="26" customFormat="1" x14ac:dyDescent="0.25"/>
    <row r="765" s="26" customFormat="1" x14ac:dyDescent="0.25"/>
    <row r="766" s="26" customFormat="1" x14ac:dyDescent="0.25"/>
    <row r="767" s="26" customFormat="1" x14ac:dyDescent="0.25"/>
    <row r="768" s="26" customFormat="1" x14ac:dyDescent="0.25"/>
    <row r="769" s="26" customFormat="1" x14ac:dyDescent="0.25"/>
    <row r="770" s="26" customFormat="1" x14ac:dyDescent="0.25"/>
    <row r="771" s="26" customFormat="1" x14ac:dyDescent="0.25"/>
    <row r="772" s="26" customFormat="1" x14ac:dyDescent="0.25"/>
    <row r="773" s="26" customFormat="1" x14ac:dyDescent="0.25"/>
    <row r="774" s="26" customFormat="1" x14ac:dyDescent="0.25"/>
    <row r="775" s="26" customFormat="1" x14ac:dyDescent="0.25"/>
    <row r="776" s="26" customFormat="1" x14ac:dyDescent="0.25"/>
    <row r="777" s="26" customFormat="1" x14ac:dyDescent="0.25"/>
    <row r="778" s="26" customFormat="1" x14ac:dyDescent="0.25"/>
    <row r="779" s="26" customFormat="1" x14ac:dyDescent="0.25"/>
    <row r="780" s="26" customFormat="1" x14ac:dyDescent="0.25"/>
    <row r="781" s="26" customFormat="1" x14ac:dyDescent="0.25"/>
    <row r="782" s="26" customFormat="1" x14ac:dyDescent="0.25"/>
    <row r="783" s="26" customFormat="1" x14ac:dyDescent="0.25"/>
    <row r="784" s="26" customFormat="1" x14ac:dyDescent="0.25"/>
    <row r="785" s="26" customFormat="1" x14ac:dyDescent="0.25"/>
    <row r="786" s="26" customFormat="1" x14ac:dyDescent="0.25"/>
    <row r="787" s="26" customFormat="1" x14ac:dyDescent="0.25"/>
    <row r="788" s="26" customFormat="1" x14ac:dyDescent="0.25"/>
    <row r="789" s="26" customFormat="1" x14ac:dyDescent="0.25"/>
    <row r="790" s="26" customFormat="1" x14ac:dyDescent="0.25"/>
    <row r="791" s="26" customFormat="1" x14ac:dyDescent="0.25"/>
    <row r="792" s="26" customFormat="1" x14ac:dyDescent="0.25"/>
    <row r="793" s="26" customFormat="1" x14ac:dyDescent="0.25"/>
    <row r="794" s="26" customFormat="1" x14ac:dyDescent="0.25"/>
    <row r="795" s="26" customFormat="1" x14ac:dyDescent="0.25"/>
    <row r="796" s="26" customFormat="1" x14ac:dyDescent="0.25"/>
    <row r="797" s="26" customFormat="1" x14ac:dyDescent="0.25"/>
    <row r="798" s="26" customFormat="1" x14ac:dyDescent="0.25"/>
    <row r="799" s="26" customFormat="1" x14ac:dyDescent="0.25"/>
    <row r="800" s="26" customFormat="1" x14ac:dyDescent="0.25"/>
    <row r="801" s="26" customFormat="1" x14ac:dyDescent="0.25"/>
    <row r="802" s="26" customFormat="1" x14ac:dyDescent="0.25"/>
    <row r="803" s="26" customFormat="1" x14ac:dyDescent="0.25"/>
    <row r="804" s="26" customFormat="1" x14ac:dyDescent="0.25"/>
    <row r="805" s="26" customFormat="1" x14ac:dyDescent="0.25"/>
    <row r="806" s="26" customFormat="1" x14ac:dyDescent="0.25"/>
    <row r="807" s="26" customFormat="1" x14ac:dyDescent="0.25"/>
    <row r="808" s="26" customFormat="1" x14ac:dyDescent="0.25"/>
    <row r="809" s="26" customFormat="1" x14ac:dyDescent="0.25"/>
    <row r="810" s="26" customFormat="1" x14ac:dyDescent="0.25"/>
    <row r="811" s="26" customFormat="1" x14ac:dyDescent="0.25"/>
    <row r="812" s="26" customFormat="1" x14ac:dyDescent="0.25"/>
    <row r="813" s="26" customFormat="1" x14ac:dyDescent="0.25"/>
    <row r="814" s="26" customFormat="1" x14ac:dyDescent="0.25"/>
    <row r="815" s="26" customFormat="1" x14ac:dyDescent="0.25"/>
    <row r="816" s="26" customFormat="1" x14ac:dyDescent="0.25"/>
    <row r="817" s="26" customFormat="1" x14ac:dyDescent="0.25"/>
    <row r="818" s="26" customFormat="1" x14ac:dyDescent="0.25"/>
    <row r="819" s="26" customFormat="1" x14ac:dyDescent="0.25"/>
    <row r="820" s="26" customFormat="1" x14ac:dyDescent="0.25"/>
    <row r="821" s="26" customFormat="1" x14ac:dyDescent="0.25"/>
    <row r="822" s="26" customFormat="1" x14ac:dyDescent="0.25"/>
    <row r="823" s="26" customFormat="1" x14ac:dyDescent="0.25"/>
    <row r="824" s="26" customFormat="1" x14ac:dyDescent="0.25"/>
    <row r="825" s="26" customFormat="1" x14ac:dyDescent="0.25"/>
    <row r="826" s="26" customFormat="1" x14ac:dyDescent="0.25"/>
    <row r="827" s="26" customFormat="1" x14ac:dyDescent="0.25"/>
    <row r="828" s="26" customFormat="1" x14ac:dyDescent="0.25"/>
    <row r="829" s="26" customFormat="1" x14ac:dyDescent="0.25"/>
    <row r="830" s="26" customFormat="1" x14ac:dyDescent="0.25"/>
    <row r="831" s="26" customFormat="1" x14ac:dyDescent="0.25"/>
    <row r="832" s="26" customFormat="1" x14ac:dyDescent="0.25"/>
    <row r="833" s="26" customFormat="1" x14ac:dyDescent="0.25"/>
    <row r="834" s="26" customFormat="1" x14ac:dyDescent="0.25"/>
    <row r="835" s="26" customFormat="1" x14ac:dyDescent="0.25"/>
    <row r="836" s="26" customFormat="1" x14ac:dyDescent="0.25"/>
    <row r="837" s="26" customFormat="1" x14ac:dyDescent="0.25"/>
    <row r="838" s="26" customFormat="1" x14ac:dyDescent="0.25"/>
    <row r="839" s="26" customFormat="1" x14ac:dyDescent="0.25"/>
    <row r="840" s="26" customFormat="1" x14ac:dyDescent="0.25"/>
    <row r="841" s="26" customFormat="1" x14ac:dyDescent="0.25"/>
    <row r="842" s="26" customFormat="1" x14ac:dyDescent="0.25"/>
    <row r="843" s="26" customFormat="1" x14ac:dyDescent="0.25"/>
    <row r="844" s="26" customFormat="1" x14ac:dyDescent="0.25"/>
    <row r="845" s="26" customFormat="1" x14ac:dyDescent="0.25"/>
    <row r="846" s="26" customFormat="1" x14ac:dyDescent="0.25"/>
    <row r="847" s="26" customFormat="1" x14ac:dyDescent="0.25"/>
    <row r="848" s="26" customFormat="1" x14ac:dyDescent="0.25"/>
    <row r="849" s="26" customFormat="1" x14ac:dyDescent="0.25"/>
    <row r="850" s="26" customFormat="1" x14ac:dyDescent="0.25"/>
    <row r="851" s="26" customFormat="1" x14ac:dyDescent="0.25"/>
    <row r="852" s="26" customFormat="1" x14ac:dyDescent="0.25"/>
    <row r="853" s="26" customFormat="1" x14ac:dyDescent="0.25"/>
    <row r="854" s="26" customFormat="1" x14ac:dyDescent="0.25"/>
    <row r="855" s="26" customFormat="1" x14ac:dyDescent="0.25"/>
    <row r="856" s="26" customFormat="1" x14ac:dyDescent="0.25"/>
    <row r="857" s="26" customFormat="1" x14ac:dyDescent="0.25"/>
    <row r="858" s="26" customFormat="1" x14ac:dyDescent="0.25"/>
    <row r="859" s="26" customFormat="1" x14ac:dyDescent="0.25"/>
    <row r="860" s="26" customFormat="1" x14ac:dyDescent="0.25"/>
    <row r="861" s="26" customFormat="1" x14ac:dyDescent="0.25"/>
    <row r="862" s="26" customFormat="1" x14ac:dyDescent="0.25"/>
    <row r="863" s="26" customFormat="1" x14ac:dyDescent="0.25"/>
    <row r="864" s="26" customFormat="1" x14ac:dyDescent="0.25"/>
    <row r="865" s="26" customFormat="1" x14ac:dyDescent="0.25"/>
    <row r="866" s="26" customFormat="1" x14ac:dyDescent="0.25"/>
    <row r="867" s="26" customFormat="1" x14ac:dyDescent="0.25"/>
    <row r="868" s="26" customFormat="1" x14ac:dyDescent="0.25"/>
    <row r="869" s="26" customFormat="1" x14ac:dyDescent="0.25"/>
    <row r="870" s="26" customFormat="1" x14ac:dyDescent="0.25"/>
    <row r="871" s="26" customFormat="1" x14ac:dyDescent="0.25"/>
    <row r="872" s="26" customFormat="1" x14ac:dyDescent="0.25"/>
    <row r="873" s="26" customFormat="1" x14ac:dyDescent="0.25"/>
    <row r="874" s="26" customFormat="1" x14ac:dyDescent="0.25"/>
    <row r="875" s="26" customFormat="1" x14ac:dyDescent="0.25"/>
    <row r="876" s="26" customFormat="1" x14ac:dyDescent="0.25"/>
    <row r="877" s="26" customFormat="1" x14ac:dyDescent="0.25"/>
    <row r="878" s="26" customFormat="1" x14ac:dyDescent="0.25"/>
    <row r="879" s="26" customFormat="1" x14ac:dyDescent="0.25"/>
    <row r="880" s="26" customFormat="1" x14ac:dyDescent="0.25"/>
    <row r="881" s="26" customFormat="1" x14ac:dyDescent="0.25"/>
    <row r="882" s="26" customFormat="1" x14ac:dyDescent="0.25"/>
    <row r="883" s="26" customFormat="1" x14ac:dyDescent="0.25"/>
    <row r="884" s="26" customFormat="1" x14ac:dyDescent="0.25"/>
    <row r="885" s="26" customFormat="1" x14ac:dyDescent="0.25"/>
    <row r="886" s="26" customFormat="1" x14ac:dyDescent="0.25"/>
    <row r="887" s="26" customFormat="1" x14ac:dyDescent="0.25"/>
    <row r="888" s="26" customFormat="1" x14ac:dyDescent="0.25"/>
    <row r="889" s="26" customFormat="1" x14ac:dyDescent="0.25"/>
    <row r="890" s="26" customFormat="1" x14ac:dyDescent="0.25"/>
    <row r="891" s="26" customFormat="1" x14ac:dyDescent="0.25"/>
    <row r="892" s="26" customFormat="1" x14ac:dyDescent="0.25"/>
    <row r="893" s="26" customFormat="1" x14ac:dyDescent="0.25"/>
    <row r="894" s="26" customFormat="1" x14ac:dyDescent="0.25"/>
    <row r="895" s="26" customFormat="1" x14ac:dyDescent="0.25"/>
    <row r="896" s="26" customFormat="1" x14ac:dyDescent="0.25"/>
    <row r="897" s="26" customFormat="1" x14ac:dyDescent="0.25"/>
    <row r="898" s="26" customFormat="1" x14ac:dyDescent="0.25"/>
    <row r="899" s="26" customFormat="1" x14ac:dyDescent="0.25"/>
    <row r="900" s="26" customFormat="1" x14ac:dyDescent="0.25"/>
    <row r="901" s="26" customFormat="1" x14ac:dyDescent="0.25"/>
    <row r="902" s="26" customFormat="1" x14ac:dyDescent="0.25"/>
    <row r="903" s="26" customFormat="1" x14ac:dyDescent="0.25"/>
    <row r="904" s="26" customFormat="1" x14ac:dyDescent="0.25"/>
    <row r="905" s="26" customFormat="1" x14ac:dyDescent="0.25"/>
    <row r="906" s="26" customFormat="1" x14ac:dyDescent="0.25"/>
    <row r="907" s="26" customFormat="1" x14ac:dyDescent="0.25"/>
    <row r="908" s="26" customFormat="1" x14ac:dyDescent="0.25"/>
    <row r="909" s="26" customFormat="1" x14ac:dyDescent="0.25"/>
    <row r="910" s="26" customFormat="1" x14ac:dyDescent="0.25"/>
    <row r="911" s="26" customFormat="1" x14ac:dyDescent="0.25"/>
    <row r="912" s="26" customFormat="1" x14ac:dyDescent="0.25"/>
    <row r="913" s="26" customFormat="1" x14ac:dyDescent="0.25"/>
    <row r="914" s="26" customFormat="1" x14ac:dyDescent="0.25"/>
    <row r="915" s="26" customFormat="1" x14ac:dyDescent="0.25"/>
    <row r="916" s="26" customFormat="1" x14ac:dyDescent="0.25"/>
    <row r="917" s="26" customFormat="1" x14ac:dyDescent="0.25"/>
    <row r="918" s="26" customFormat="1" x14ac:dyDescent="0.25"/>
    <row r="919" s="26" customFormat="1" x14ac:dyDescent="0.25"/>
    <row r="920" s="26" customFormat="1" x14ac:dyDescent="0.25"/>
    <row r="921" s="26" customFormat="1" x14ac:dyDescent="0.25"/>
    <row r="922" s="26" customFormat="1" x14ac:dyDescent="0.25"/>
    <row r="923" s="26" customFormat="1" x14ac:dyDescent="0.25"/>
    <row r="924" s="26" customFormat="1" x14ac:dyDescent="0.25"/>
    <row r="925" s="26" customFormat="1" x14ac:dyDescent="0.25"/>
    <row r="926" s="26" customFormat="1" x14ac:dyDescent="0.25"/>
    <row r="927" s="26" customFormat="1" x14ac:dyDescent="0.25"/>
    <row r="928" s="26" customFormat="1" x14ac:dyDescent="0.25"/>
    <row r="929" s="26" customFormat="1" x14ac:dyDescent="0.25"/>
    <row r="930" s="26" customFormat="1" x14ac:dyDescent="0.25"/>
    <row r="931" s="26" customFormat="1" x14ac:dyDescent="0.25"/>
    <row r="932" s="26" customFormat="1" x14ac:dyDescent="0.25"/>
    <row r="933" s="26" customFormat="1" x14ac:dyDescent="0.25"/>
    <row r="934" s="26" customFormat="1" x14ac:dyDescent="0.25"/>
    <row r="935" s="26" customFormat="1" x14ac:dyDescent="0.25"/>
    <row r="936" s="26" customFormat="1" x14ac:dyDescent="0.25"/>
    <row r="937" s="26" customFormat="1" x14ac:dyDescent="0.25"/>
    <row r="938" s="26" customFormat="1" x14ac:dyDescent="0.25"/>
    <row r="939" s="26" customFormat="1" x14ac:dyDescent="0.25"/>
    <row r="940" s="26" customFormat="1" x14ac:dyDescent="0.25"/>
    <row r="941" s="26" customFormat="1" x14ac:dyDescent="0.25"/>
    <row r="942" s="26" customFormat="1" x14ac:dyDescent="0.25"/>
    <row r="943" s="26" customFormat="1" x14ac:dyDescent="0.25"/>
    <row r="944" s="26" customFormat="1" x14ac:dyDescent="0.25"/>
    <row r="945" s="26" customFormat="1" x14ac:dyDescent="0.25"/>
    <row r="946" s="26" customFormat="1" x14ac:dyDescent="0.25"/>
    <row r="947" s="26" customFormat="1" x14ac:dyDescent="0.25"/>
    <row r="948" s="26" customFormat="1" x14ac:dyDescent="0.25"/>
    <row r="949" s="26" customFormat="1" x14ac:dyDescent="0.25"/>
    <row r="950" s="26" customFormat="1" x14ac:dyDescent="0.25"/>
    <row r="951" s="26" customFormat="1" x14ac:dyDescent="0.25"/>
    <row r="952" s="26" customFormat="1" x14ac:dyDescent="0.25"/>
    <row r="953" s="26" customFormat="1" x14ac:dyDescent="0.25"/>
    <row r="954" s="26" customFormat="1" x14ac:dyDescent="0.25"/>
    <row r="955" s="26" customFormat="1" x14ac:dyDescent="0.25"/>
    <row r="956" s="26" customFormat="1" x14ac:dyDescent="0.25"/>
    <row r="957" s="26" customFormat="1" x14ac:dyDescent="0.25"/>
    <row r="958" s="26" customFormat="1" x14ac:dyDescent="0.25"/>
    <row r="959" s="26" customFormat="1" x14ac:dyDescent="0.25"/>
    <row r="960" s="26" customFormat="1" x14ac:dyDescent="0.25"/>
    <row r="961" s="26" customFormat="1" x14ac:dyDescent="0.25"/>
    <row r="962" s="26" customFormat="1" x14ac:dyDescent="0.25"/>
    <row r="963" s="26" customFormat="1" x14ac:dyDescent="0.25"/>
    <row r="964" s="26" customFormat="1" x14ac:dyDescent="0.25"/>
    <row r="965" s="26" customFormat="1" x14ac:dyDescent="0.25"/>
    <row r="966" s="26" customFormat="1" x14ac:dyDescent="0.25"/>
    <row r="967" s="26" customFormat="1" x14ac:dyDescent="0.25"/>
    <row r="968" s="26" customFormat="1" x14ac:dyDescent="0.25"/>
    <row r="969" s="26" customFormat="1" x14ac:dyDescent="0.25"/>
    <row r="970" s="26" customFormat="1" x14ac:dyDescent="0.25"/>
    <row r="971" s="26" customFormat="1" x14ac:dyDescent="0.25"/>
    <row r="972" s="26" customFormat="1" x14ac:dyDescent="0.25"/>
    <row r="973" s="26" customFormat="1" x14ac:dyDescent="0.25"/>
    <row r="974" s="26" customFormat="1" x14ac:dyDescent="0.25"/>
    <row r="975" s="26" customFormat="1" x14ac:dyDescent="0.25"/>
  </sheetData>
  <sheetProtection algorithmName="SHA-512" hashValue="wYV5VaxEv6sv+yFWwhRa9Na8CdRZZddCMkJXUDbpTF1l5T+O20dVy95x+vBAeBSxgBQvDdPQmW5ISzrSKx3iVA==" saltValue="AwF8PplYL0zqzr+vIQdhWg==" spinCount="100000" sheet="1" objects="1" scenarios="1"/>
  <mergeCells count="4">
    <mergeCell ref="B2:D2"/>
    <mergeCell ref="B4:B5"/>
    <mergeCell ref="C6:D6"/>
    <mergeCell ref="C8:D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M111"/>
  <sheetViews>
    <sheetView zoomScaleNormal="100" workbookViewId="0">
      <pane xSplit="2" topLeftCell="C1" activePane="topRight" state="frozen"/>
      <selection pane="topRight" activeCell="D2" sqref="D2"/>
    </sheetView>
  </sheetViews>
  <sheetFormatPr defaultColWidth="9.140625" defaultRowHeight="15" x14ac:dyDescent="0.25"/>
  <cols>
    <col min="1" max="1" width="2.7109375" style="23" customWidth="1"/>
    <col min="2" max="2" width="50.7109375" style="23" customWidth="1"/>
    <col min="3" max="3" width="2.7109375" style="23" customWidth="1"/>
    <col min="4" max="5" width="32.7109375" style="23" customWidth="1"/>
    <col min="6" max="13" width="32.7109375" style="40" customWidth="1"/>
    <col min="14" max="16384" width="9.140625" style="23"/>
  </cols>
  <sheetData>
    <row r="1" spans="2:13" ht="9.9499999999999993" customHeight="1" x14ac:dyDescent="0.25"/>
    <row r="2" spans="2:13" ht="30" customHeight="1" x14ac:dyDescent="0.25">
      <c r="B2" s="24" t="s">
        <v>68</v>
      </c>
      <c r="D2" s="2"/>
      <c r="E2" s="39" t="str">
        <f>IF($D2="","",$D2)</f>
        <v/>
      </c>
      <c r="F2" s="39" t="str">
        <f t="shared" ref="F2:M4" si="0">IF($D2="","",$D2)</f>
        <v/>
      </c>
      <c r="G2" s="39" t="str">
        <f t="shared" si="0"/>
        <v/>
      </c>
      <c r="H2" s="39" t="str">
        <f t="shared" si="0"/>
        <v/>
      </c>
      <c r="I2" s="39" t="str">
        <f t="shared" si="0"/>
        <v/>
      </c>
      <c r="J2" s="39" t="str">
        <f t="shared" si="0"/>
        <v/>
      </c>
      <c r="K2" s="39" t="str">
        <f t="shared" si="0"/>
        <v/>
      </c>
      <c r="L2" s="39" t="str">
        <f t="shared" si="0"/>
        <v/>
      </c>
      <c r="M2" s="39" t="str">
        <f t="shared" si="0"/>
        <v/>
      </c>
    </row>
    <row r="3" spans="2:13" ht="30" customHeight="1" x14ac:dyDescent="0.25">
      <c r="B3" s="24" t="s">
        <v>50</v>
      </c>
      <c r="D3" s="2"/>
      <c r="E3" s="39" t="str">
        <f t="shared" ref="E3:E4" si="1">IF($D3="","",$D3)</f>
        <v/>
      </c>
      <c r="F3" s="39" t="str">
        <f t="shared" si="0"/>
        <v/>
      </c>
      <c r="G3" s="39" t="str">
        <f t="shared" si="0"/>
        <v/>
      </c>
      <c r="H3" s="39" t="str">
        <f t="shared" si="0"/>
        <v/>
      </c>
      <c r="I3" s="39" t="str">
        <f t="shared" si="0"/>
        <v/>
      </c>
      <c r="J3" s="39" t="str">
        <f t="shared" si="0"/>
        <v/>
      </c>
      <c r="K3" s="39" t="str">
        <f t="shared" si="0"/>
        <v/>
      </c>
      <c r="L3" s="39" t="str">
        <f t="shared" si="0"/>
        <v/>
      </c>
      <c r="M3" s="39" t="str">
        <f t="shared" si="0"/>
        <v/>
      </c>
    </row>
    <row r="4" spans="2:13" ht="30" customHeight="1" x14ac:dyDescent="0.25">
      <c r="B4" s="24" t="s">
        <v>158</v>
      </c>
      <c r="D4" s="2"/>
      <c r="E4" s="39" t="str">
        <f t="shared" si="1"/>
        <v/>
      </c>
      <c r="F4" s="39" t="str">
        <f t="shared" si="0"/>
        <v/>
      </c>
      <c r="G4" s="39" t="str">
        <f t="shared" si="0"/>
        <v/>
      </c>
      <c r="H4" s="39" t="str">
        <f t="shared" si="0"/>
        <v/>
      </c>
      <c r="I4" s="39" t="str">
        <f t="shared" si="0"/>
        <v/>
      </c>
      <c r="J4" s="39" t="str">
        <f t="shared" si="0"/>
        <v/>
      </c>
      <c r="K4" s="39" t="str">
        <f t="shared" si="0"/>
        <v/>
      </c>
      <c r="L4" s="39" t="str">
        <f t="shared" si="0"/>
        <v/>
      </c>
      <c r="M4" s="39" t="str">
        <f t="shared" si="0"/>
        <v/>
      </c>
    </row>
    <row r="5" spans="2:13" ht="30" customHeight="1" x14ac:dyDescent="0.25">
      <c r="B5" s="24" t="s">
        <v>118</v>
      </c>
      <c r="D5" s="2"/>
      <c r="E5" s="2"/>
      <c r="F5" s="2"/>
      <c r="G5" s="2"/>
      <c r="H5" s="2"/>
      <c r="I5" s="2"/>
      <c r="J5" s="2"/>
      <c r="K5" s="2"/>
      <c r="L5" s="2"/>
      <c r="M5" s="2"/>
    </row>
    <row r="6" spans="2:13" ht="30" customHeight="1" x14ac:dyDescent="0.25">
      <c r="B6" s="24" t="s">
        <v>43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2:13" ht="30" customHeight="1" x14ac:dyDescent="0.25">
      <c r="B7" s="24" t="s">
        <v>135</v>
      </c>
      <c r="D7" s="2"/>
      <c r="E7" s="2"/>
      <c r="F7" s="2"/>
      <c r="G7" s="2"/>
      <c r="H7" s="2"/>
      <c r="I7" s="2"/>
      <c r="J7" s="2"/>
      <c r="K7" s="2"/>
      <c r="L7" s="2"/>
      <c r="M7" s="2"/>
    </row>
    <row r="8" spans="2:13" ht="30" customHeight="1" x14ac:dyDescent="0.25">
      <c r="B8" s="24" t="s">
        <v>67</v>
      </c>
      <c r="D8" s="3"/>
      <c r="E8" s="3"/>
      <c r="F8" s="3"/>
      <c r="G8" s="3"/>
      <c r="H8" s="3"/>
      <c r="I8" s="3"/>
      <c r="J8" s="3"/>
      <c r="K8" s="3"/>
      <c r="L8" s="3"/>
      <c r="M8" s="3"/>
    </row>
    <row r="9" spans="2:13" ht="30" customHeight="1" x14ac:dyDescent="0.25">
      <c r="B9" s="41" t="s">
        <v>113</v>
      </c>
      <c r="D9" s="2"/>
      <c r="E9" s="2"/>
      <c r="F9" s="2"/>
      <c r="G9" s="2"/>
      <c r="H9" s="2"/>
      <c r="I9" s="2"/>
      <c r="J9" s="2"/>
      <c r="K9" s="2"/>
      <c r="L9" s="2"/>
      <c r="M9" s="2"/>
    </row>
    <row r="10" spans="2:13" ht="30" customHeight="1" x14ac:dyDescent="0.25">
      <c r="B10" s="41" t="s">
        <v>112</v>
      </c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2:13" ht="30" customHeight="1" x14ac:dyDescent="0.25">
      <c r="B11" s="24" t="s">
        <v>0</v>
      </c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2:13" ht="30" customHeight="1" x14ac:dyDescent="0.25">
      <c r="B12" s="41" t="s">
        <v>119</v>
      </c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2:13" ht="30" customHeight="1" x14ac:dyDescent="0.25">
      <c r="B13" s="41" t="s">
        <v>120</v>
      </c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2:13" s="42" customFormat="1" ht="30" hidden="1" customHeight="1" x14ac:dyDescent="0.25">
      <c r="B14" s="43" t="s">
        <v>69</v>
      </c>
      <c r="D14" s="44"/>
      <c r="E14" s="44"/>
      <c r="F14" s="44"/>
      <c r="G14" s="44"/>
      <c r="H14" s="44"/>
      <c r="I14" s="44"/>
      <c r="J14" s="44"/>
      <c r="K14" s="44"/>
      <c r="L14" s="44"/>
      <c r="M14" s="44"/>
    </row>
    <row r="15" spans="2:13" s="42" customFormat="1" ht="30" hidden="1" customHeight="1" x14ac:dyDescent="0.25">
      <c r="B15" s="43" t="s">
        <v>70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</row>
    <row r="16" spans="2:13" s="42" customFormat="1" ht="30" hidden="1" customHeight="1" x14ac:dyDescent="0.25">
      <c r="B16" s="43" t="s">
        <v>102</v>
      </c>
      <c r="D16" s="44"/>
      <c r="E16" s="44"/>
      <c r="F16" s="44"/>
      <c r="G16" s="44"/>
      <c r="H16" s="44"/>
      <c r="I16" s="44"/>
      <c r="J16" s="44"/>
      <c r="K16" s="44"/>
      <c r="L16" s="44"/>
      <c r="M16" s="44"/>
    </row>
    <row r="17" spans="2:13" s="42" customFormat="1" ht="30" customHeight="1" x14ac:dyDescent="0.25">
      <c r="B17" s="43" t="s">
        <v>115</v>
      </c>
      <c r="D17" s="78" t="str">
        <f t="shared" ref="D17:M17" si="2">IF(D$6="","",D$82)</f>
        <v/>
      </c>
      <c r="E17" s="78" t="str">
        <f t="shared" si="2"/>
        <v/>
      </c>
      <c r="F17" s="78" t="str">
        <f t="shared" si="2"/>
        <v/>
      </c>
      <c r="G17" s="78" t="str">
        <f t="shared" si="2"/>
        <v/>
      </c>
      <c r="H17" s="78" t="str">
        <f t="shared" si="2"/>
        <v/>
      </c>
      <c r="I17" s="78" t="str">
        <f t="shared" si="2"/>
        <v/>
      </c>
      <c r="J17" s="78" t="str">
        <f t="shared" si="2"/>
        <v/>
      </c>
      <c r="K17" s="78" t="str">
        <f t="shared" si="2"/>
        <v/>
      </c>
      <c r="L17" s="78" t="str">
        <f t="shared" si="2"/>
        <v/>
      </c>
      <c r="M17" s="78" t="str">
        <f t="shared" si="2"/>
        <v/>
      </c>
    </row>
    <row r="18" spans="2:13" s="42" customFormat="1" ht="30" customHeight="1" x14ac:dyDescent="0.25">
      <c r="B18" s="43" t="s">
        <v>116</v>
      </c>
      <c r="D18" s="78" t="str">
        <f t="shared" ref="D18:M18" si="3">IF(D$6="","",D$72)</f>
        <v/>
      </c>
      <c r="E18" s="78" t="str">
        <f t="shared" si="3"/>
        <v/>
      </c>
      <c r="F18" s="78" t="str">
        <f t="shared" si="3"/>
        <v/>
      </c>
      <c r="G18" s="78" t="str">
        <f t="shared" si="3"/>
        <v/>
      </c>
      <c r="H18" s="78" t="str">
        <f t="shared" si="3"/>
        <v/>
      </c>
      <c r="I18" s="78" t="str">
        <f t="shared" si="3"/>
        <v/>
      </c>
      <c r="J18" s="78" t="str">
        <f t="shared" si="3"/>
        <v/>
      </c>
      <c r="K18" s="78" t="str">
        <f t="shared" si="3"/>
        <v/>
      </c>
      <c r="L18" s="78" t="str">
        <f t="shared" si="3"/>
        <v/>
      </c>
      <c r="M18" s="78" t="str">
        <f t="shared" si="3"/>
        <v/>
      </c>
    </row>
    <row r="19" spans="2:13" s="42" customFormat="1" ht="30" customHeight="1" x14ac:dyDescent="0.25">
      <c r="B19" s="43" t="s">
        <v>117</v>
      </c>
      <c r="D19" s="78" t="str">
        <f t="shared" ref="D19:M19" si="4">IF(OR(D$6="Split DX Heat Pump",D$6="Packaged DX Heat Pump"),D$92,"")</f>
        <v/>
      </c>
      <c r="E19" s="78" t="str">
        <f t="shared" si="4"/>
        <v/>
      </c>
      <c r="F19" s="78" t="str">
        <f t="shared" si="4"/>
        <v/>
      </c>
      <c r="G19" s="78" t="str">
        <f t="shared" si="4"/>
        <v/>
      </c>
      <c r="H19" s="78" t="str">
        <f t="shared" si="4"/>
        <v/>
      </c>
      <c r="I19" s="78" t="str">
        <f t="shared" si="4"/>
        <v/>
      </c>
      <c r="J19" s="78" t="str">
        <f t="shared" si="4"/>
        <v/>
      </c>
      <c r="K19" s="78" t="str">
        <f t="shared" si="4"/>
        <v/>
      </c>
      <c r="L19" s="78" t="str">
        <f t="shared" si="4"/>
        <v/>
      </c>
      <c r="M19" s="78" t="str">
        <f t="shared" si="4"/>
        <v/>
      </c>
    </row>
    <row r="20" spans="2:13" s="42" customFormat="1" ht="30" customHeight="1" x14ac:dyDescent="0.25">
      <c r="B20" s="43" t="s">
        <v>93</v>
      </c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2:13" s="42" customFormat="1" ht="30" customHeight="1" x14ac:dyDescent="0.25">
      <c r="B21" s="43" t="s">
        <v>94</v>
      </c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2:13" s="42" customFormat="1" ht="30" customHeight="1" x14ac:dyDescent="0.25">
      <c r="B22" s="43" t="s">
        <v>103</v>
      </c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2:13" x14ac:dyDescent="0.25">
      <c r="B23" s="24"/>
      <c r="D23" s="40"/>
      <c r="E23" s="40"/>
    </row>
    <row r="24" spans="2:13" ht="30" customHeight="1" x14ac:dyDescent="0.25">
      <c r="B24" s="24" t="s">
        <v>55</v>
      </c>
      <c r="D24" s="75">
        <f>IF(OR(D$6="",D$11=""),0,IF(OR(D$6="Split DX Air Conditioner",D$6="Packaged DX Air Conditioner",D$6="Split DX Heat Pump",D$6="Packaged DX Heat Pump"),VLOOKUP(D$11,'Factor Tables'!$B$4:$I$26,2,FALSE),IF(D$6="Air-Cooled Chiller",VLOOKUP(D$11,'Factor Tables'!$B$4:$I$26,4,FALSE),IF(D$6="Water-Cooled Chiller",VLOOKUP(D$11,'Factor Tables'!$B$4:$I$26,5,FALSE),0))))</f>
        <v>0</v>
      </c>
      <c r="E24" s="75">
        <f>IF(OR(E$6="",E$11=""),0,IF(OR(E$6="Split DX Air Conditioner",E$6="Packaged DX Air Conditioner",E$6="Split DX Heat Pump",E$6="Packaged DX Heat Pump"),VLOOKUP(E$11,'Factor Tables'!$B$4:$I$26,2,FALSE),IF(E$6="Air-Cooled Chiller",VLOOKUP(E$11,'Factor Tables'!$B$4:$I$26,4,FALSE),IF(E$6="Water-Cooled Chiller",VLOOKUP(E$11,'Factor Tables'!$B$4:$I$26,5,FALSE),0))))</f>
        <v>0</v>
      </c>
      <c r="F24" s="75">
        <f>IF(OR(F$6="",F$11=""),0,IF(OR(F$6="Split DX Air Conditioner",F$6="Packaged DX Air Conditioner",F$6="Split DX Heat Pump",F$6="Packaged DX Heat Pump"),VLOOKUP(F$11,'Factor Tables'!$B$4:$I$26,2,FALSE),IF(F$6="Air-Cooled Chiller",VLOOKUP(F$11,'Factor Tables'!$B$4:$I$26,4,FALSE),IF(F$6="Water-Cooled Chiller",VLOOKUP(F$11,'Factor Tables'!$B$4:$I$26,5,FALSE),0))))</f>
        <v>0</v>
      </c>
      <c r="G24" s="75">
        <f>IF(OR(G$6="",G$11=""),0,IF(OR(G$6="Split DX Air Conditioner",G$6="Packaged DX Air Conditioner",G$6="Split DX Heat Pump",G$6="Packaged DX Heat Pump"),VLOOKUP(G$11,'Factor Tables'!$B$4:$I$26,2,FALSE),IF(G$6="Air-Cooled Chiller",VLOOKUP(G$11,'Factor Tables'!$B$4:$I$26,4,FALSE),IF(G$6="Water-Cooled Chiller",VLOOKUP(G$11,'Factor Tables'!$B$4:$I$26,5,FALSE),0))))</f>
        <v>0</v>
      </c>
      <c r="H24" s="75">
        <f>IF(OR(H$6="",H$11=""),0,IF(OR(H$6="Split DX Air Conditioner",H$6="Packaged DX Air Conditioner",H$6="Split DX Heat Pump",H$6="Packaged DX Heat Pump"),VLOOKUP(H$11,'Factor Tables'!$B$4:$I$26,2,FALSE),IF(H$6="Air-Cooled Chiller",VLOOKUP(H$11,'Factor Tables'!$B$4:$I$26,4,FALSE),IF(H$6="Water-Cooled Chiller",VLOOKUP(H$11,'Factor Tables'!$B$4:$I$26,5,FALSE),0))))</f>
        <v>0</v>
      </c>
      <c r="I24" s="75">
        <f>IF(OR(I$6="",I$11=""),0,IF(OR(I$6="Split DX Air Conditioner",I$6="Packaged DX Air Conditioner",I$6="Split DX Heat Pump",I$6="Packaged DX Heat Pump"),VLOOKUP(I$11,'Factor Tables'!$B$4:$I$26,2,FALSE),IF(I$6="Air-Cooled Chiller",VLOOKUP(I$11,'Factor Tables'!$B$4:$I$26,4,FALSE),IF(I$6="Water-Cooled Chiller",VLOOKUP(I$11,'Factor Tables'!$B$4:$I$26,5,FALSE),0))))</f>
        <v>0</v>
      </c>
      <c r="J24" s="75">
        <f>IF(OR(J$6="",J$11=""),0,IF(OR(J$6="Split DX Air Conditioner",J$6="Packaged DX Air Conditioner",J$6="Split DX Heat Pump",J$6="Packaged DX Heat Pump"),VLOOKUP(J$11,'Factor Tables'!$B$4:$I$26,2,FALSE),IF(J$6="Air-Cooled Chiller",VLOOKUP(J$11,'Factor Tables'!$B$4:$I$26,4,FALSE),IF(J$6="Water-Cooled Chiller",VLOOKUP(J$11,'Factor Tables'!$B$4:$I$26,5,FALSE),0))))</f>
        <v>0</v>
      </c>
      <c r="K24" s="75">
        <f>IF(OR(K$6="",K$11=""),0,IF(OR(K$6="Split DX Air Conditioner",K$6="Packaged DX Air Conditioner",K$6="Split DX Heat Pump",K$6="Packaged DX Heat Pump"),VLOOKUP(K$11,'Factor Tables'!$B$4:$I$26,2,FALSE),IF(K$6="Air-Cooled Chiller",VLOOKUP(K$11,'Factor Tables'!$B$4:$I$26,4,FALSE),IF(K$6="Water-Cooled Chiller",VLOOKUP(K$11,'Factor Tables'!$B$4:$I$26,5,FALSE),0))))</f>
        <v>0</v>
      </c>
      <c r="L24" s="75">
        <f>IF(OR(L$6="",L$11=""),0,IF(OR(L$6="Split DX Air Conditioner",L$6="Packaged DX Air Conditioner",L$6="Split DX Heat Pump",L$6="Packaged DX Heat Pump"),VLOOKUP(L$11,'Factor Tables'!$B$4:$I$26,2,FALSE),IF(L$6="Air-Cooled Chiller",VLOOKUP(L$11,'Factor Tables'!$B$4:$I$26,4,FALSE),IF(L$6="Water-Cooled Chiller",VLOOKUP(L$11,'Factor Tables'!$B$4:$I$26,5,FALSE),0))))</f>
        <v>0</v>
      </c>
      <c r="M24" s="75">
        <f>IF(OR(M$6="",M$11=""),0,IF(OR(M$6="Split DX Air Conditioner",M$6="Packaged DX Air Conditioner",M$6="Split DX Heat Pump",M$6="Packaged DX Heat Pump"),VLOOKUP(M$11,'Factor Tables'!$B$4:$I$26,2,FALSE),IF(M$6="Air-Cooled Chiller",VLOOKUP(M$11,'Factor Tables'!$B$4:$I$26,4,FALSE),IF(M$6="Water-Cooled Chiller",VLOOKUP(M$11,'Factor Tables'!$B$4:$I$26,5,FALSE),0))))</f>
        <v>0</v>
      </c>
    </row>
    <row r="25" spans="2:13" ht="30" customHeight="1" x14ac:dyDescent="0.25">
      <c r="B25" s="24" t="s">
        <v>151</v>
      </c>
      <c r="D25" s="75">
        <f>IF(OR(D$6="",D$11=""),0,IF(OR(D$6="Split DX Heat Pump",D$6="Packaged DX Heat Pump"),VLOOKUP(D$11,'Factor Tables'!$B$4:$I$26,3,FALSE),0))</f>
        <v>0</v>
      </c>
      <c r="E25" s="75">
        <f>IF(OR(E$6="",E$11=""),0,IF(OR(E$6="Split DX Heat Pump",E$6="Packaged DX Heat Pump"),VLOOKUP(E$11,'Factor Tables'!$B$4:$I$26,3,FALSE),0))</f>
        <v>0</v>
      </c>
      <c r="F25" s="75">
        <f>IF(OR(F$6="",F$11=""),0,IF(OR(F$6="Split DX Heat Pump",F$6="Packaged DX Heat Pump"),VLOOKUP(F$11,'Factor Tables'!$B$4:$I$26,3,FALSE),0))</f>
        <v>0</v>
      </c>
      <c r="G25" s="75">
        <f>IF(OR(G$6="",G$11=""),0,IF(OR(G$6="Split DX Heat Pump",G$6="Packaged DX Heat Pump"),VLOOKUP(G$11,'Factor Tables'!$B$4:$I$26,3,FALSE),0))</f>
        <v>0</v>
      </c>
      <c r="H25" s="75">
        <f>IF(OR(H$6="",H$11=""),0,IF(OR(H$6="Split DX Heat Pump",H$6="Packaged DX Heat Pump"),VLOOKUP(H$11,'Factor Tables'!$B$4:$I$26,3,FALSE),0))</f>
        <v>0</v>
      </c>
      <c r="I25" s="75">
        <f>IF(OR(I$6="",I$11=""),0,IF(OR(I$6="Split DX Heat Pump",I$6="Packaged DX Heat Pump"),VLOOKUP(I$11,'Factor Tables'!$B$4:$I$26,3,FALSE),0))</f>
        <v>0</v>
      </c>
      <c r="J25" s="75">
        <f>IF(OR(J$6="",J$11=""),0,IF(OR(J$6="Split DX Heat Pump",J$6="Packaged DX Heat Pump"),VLOOKUP(J$11,'Factor Tables'!$B$4:$I$26,3,FALSE),0))</f>
        <v>0</v>
      </c>
      <c r="K25" s="75">
        <f>IF(OR(K$6="",K$11=""),0,IF(OR(K$6="Split DX Heat Pump",K$6="Packaged DX Heat Pump"),VLOOKUP(K$11,'Factor Tables'!$B$4:$I$26,3,FALSE),0))</f>
        <v>0</v>
      </c>
      <c r="L25" s="75">
        <f>IF(OR(L$6="",L$11=""),0,IF(OR(L$6="Split DX Heat Pump",L$6="Packaged DX Heat Pump"),VLOOKUP(L$11,'Factor Tables'!$B$4:$I$26,3,FALSE),0))</f>
        <v>0</v>
      </c>
      <c r="M25" s="75">
        <f>IF(OR(M$6="",M$11=""),0,IF(OR(M$6="Split DX Heat Pump",M$6="Packaged DX Heat Pump"),VLOOKUP(M$11,'Factor Tables'!$B$4:$I$26,3,FALSE),0))</f>
        <v>0</v>
      </c>
    </row>
    <row r="26" spans="2:13" s="46" customFormat="1" ht="30" customHeight="1" x14ac:dyDescent="0.25">
      <c r="B26" s="47" t="s">
        <v>101</v>
      </c>
      <c r="D26" s="76">
        <f>IF(OR(D$6="",D$11=""),0,IF(OR(D$6="Split DX Air Conditioner",D$6="Packaged DX Air Conditioner",D$6="Split DX Heat Pump",D$6="Packaged DX Heat Pump"),VLOOKUP(D$11,'Factor Tables'!$B$4:$I$26,6,FALSE),IF(D$6="Air-Cooled Chiller",VLOOKUP(D$11,'Factor Tables'!$B$4:$I$26,7,FALSE),IF(D$6="Water-Cooled Chiller",VLOOKUP(D$11,'Factor Tables'!$B$4:$I$26,8,FALSE),0))))</f>
        <v>0</v>
      </c>
      <c r="E26" s="76">
        <f>IF(OR(E$6="",E$11=""),0,IF(OR(E$6="Split DX Air Conditioner",E$6="Packaged DX Air Conditioner",E$6="Split DX Heat Pump",E$6="Packaged DX Heat Pump"),VLOOKUP(E$11,'Factor Tables'!$B$4:$I$26,6,FALSE),IF(E$6="Air-Cooled Chiller",VLOOKUP(E$11,'Factor Tables'!$B$4:$I$26,7,FALSE),IF(E$6="Water-Cooled Chiller",VLOOKUP(E$11,'Factor Tables'!$B$4:$I$26,8,FALSE),0))))</f>
        <v>0</v>
      </c>
      <c r="F26" s="76">
        <f>IF(OR(F$6="",F$11=""),0,IF(OR(F$6="Split DX Air Conditioner",F$6="Packaged DX Air Conditioner",F$6="Split DX Heat Pump",F$6="Packaged DX Heat Pump"),VLOOKUP(F$11,'Factor Tables'!$B$4:$I$26,6,FALSE),IF(F$6="Air-Cooled Chiller",VLOOKUP(F$11,'Factor Tables'!$B$4:$I$26,7,FALSE),IF(F$6="Water-Cooled Chiller",VLOOKUP(F$11,'Factor Tables'!$B$4:$I$26,8,FALSE),0))))</f>
        <v>0</v>
      </c>
      <c r="G26" s="76">
        <f>IF(OR(G$6="",G$11=""),0,IF(OR(G$6="Split DX Air Conditioner",G$6="Packaged DX Air Conditioner",G$6="Split DX Heat Pump",G$6="Packaged DX Heat Pump"),VLOOKUP(G$11,'Factor Tables'!$B$4:$I$26,6,FALSE),IF(G$6="Air-Cooled Chiller",VLOOKUP(G$11,'Factor Tables'!$B$4:$I$26,7,FALSE),IF(G$6="Water-Cooled Chiller",VLOOKUP(G$11,'Factor Tables'!$B$4:$I$26,8,FALSE),0))))</f>
        <v>0</v>
      </c>
      <c r="H26" s="76">
        <f>IF(OR(H$6="",H$11=""),0,IF(OR(H$6="Split DX Air Conditioner",H$6="Packaged DX Air Conditioner",H$6="Split DX Heat Pump",H$6="Packaged DX Heat Pump"),VLOOKUP(H$11,'Factor Tables'!$B$4:$I$26,6,FALSE),IF(H$6="Air-Cooled Chiller",VLOOKUP(H$11,'Factor Tables'!$B$4:$I$26,7,FALSE),IF(H$6="Water-Cooled Chiller",VLOOKUP(H$11,'Factor Tables'!$B$4:$I$26,8,FALSE),0))))</f>
        <v>0</v>
      </c>
      <c r="I26" s="76">
        <f>IF(OR(I$6="",I$11=""),0,IF(OR(I$6="Split DX Air Conditioner",I$6="Packaged DX Air Conditioner",I$6="Split DX Heat Pump",I$6="Packaged DX Heat Pump"),VLOOKUP(I$11,'Factor Tables'!$B$4:$I$26,6,FALSE),IF(I$6="Air-Cooled Chiller",VLOOKUP(I$11,'Factor Tables'!$B$4:$I$26,7,FALSE),IF(I$6="Water-Cooled Chiller",VLOOKUP(I$11,'Factor Tables'!$B$4:$I$26,8,FALSE),0))))</f>
        <v>0</v>
      </c>
      <c r="J26" s="76">
        <f>IF(OR(J$6="",J$11=""),0,IF(OR(J$6="Split DX Air Conditioner",J$6="Packaged DX Air Conditioner",J$6="Split DX Heat Pump",J$6="Packaged DX Heat Pump"),VLOOKUP(J$11,'Factor Tables'!$B$4:$I$26,6,FALSE),IF(J$6="Air-Cooled Chiller",VLOOKUP(J$11,'Factor Tables'!$B$4:$I$26,7,FALSE),IF(J$6="Water-Cooled Chiller",VLOOKUP(J$11,'Factor Tables'!$B$4:$I$26,8,FALSE),0))))</f>
        <v>0</v>
      </c>
      <c r="K26" s="76">
        <f>IF(OR(K$6="",K$11=""),0,IF(OR(K$6="Split DX Air Conditioner",K$6="Packaged DX Air Conditioner",K$6="Split DX Heat Pump",K$6="Packaged DX Heat Pump"),VLOOKUP(K$11,'Factor Tables'!$B$4:$I$26,6,FALSE),IF(K$6="Air-Cooled Chiller",VLOOKUP(K$11,'Factor Tables'!$B$4:$I$26,7,FALSE),IF(K$6="Water-Cooled Chiller",VLOOKUP(K$11,'Factor Tables'!$B$4:$I$26,8,FALSE),0))))</f>
        <v>0</v>
      </c>
      <c r="L26" s="76">
        <f>IF(OR(L$6="",L$11=""),0,IF(OR(L$6="Split DX Air Conditioner",L$6="Packaged DX Air Conditioner",L$6="Split DX Heat Pump",L$6="Packaged DX Heat Pump"),VLOOKUP(L$11,'Factor Tables'!$B$4:$I$26,6,FALSE),IF(L$6="Air-Cooled Chiller",VLOOKUP(L$11,'Factor Tables'!$B$4:$I$26,7,FALSE),IF(L$6="Water-Cooled Chiller",VLOOKUP(L$11,'Factor Tables'!$B$4:$I$26,8,FALSE),0))))</f>
        <v>0</v>
      </c>
      <c r="M26" s="76">
        <f>IF(OR(M$6="",M$11=""),0,IF(OR(M$6="Split DX Air Conditioner",M$6="Packaged DX Air Conditioner",M$6="Split DX Heat Pump",M$6="Packaged DX Heat Pump"),VLOOKUP(M$11,'Factor Tables'!$B$4:$I$26,6,FALSE),IF(M$6="Air-Cooled Chiller",VLOOKUP(M$11,'Factor Tables'!$B$4:$I$26,7,FALSE),IF(M$6="Water-Cooled Chiller",VLOOKUP(M$11,'Factor Tables'!$B$4:$I$26,8,FALSE),0))))</f>
        <v>0</v>
      </c>
    </row>
    <row r="27" spans="2:13" ht="30" customHeight="1" x14ac:dyDescent="0.25">
      <c r="B27" s="24" t="s">
        <v>51</v>
      </c>
      <c r="D27" s="77">
        <f>IF(D$6="",0,IF(OR(D$6="Split DX Air Conditioner",D$6="Packaged DX Air Conditioner",D$6="Split DX Heat Pump",D$6="Packaged DX Heat Pump"),15,IF(AND(OR(D$6="Air-Cooled Chiller",D$6="Water-Cooled Chiller"),OR(D$9="Screw",D$9="Scroll",D$9="Reciprocating")),20,IF(AND(OR(D$6="Air-Cooled Chiller",D$6="Water-Cooled Chiller"),D$9="Centrifugal"),25,0))))</f>
        <v>0</v>
      </c>
      <c r="E27" s="77">
        <f t="shared" ref="E27:M27" si="5">IF(E$6="",0,IF(OR(E$6="Split DX Air Conditioner",E$6="Packaged DX Air Conditioner",E$6="Split DX Heat Pump",E$6="Packaged DX Heat Pump"),15,IF(AND(OR(E$6="Air-Cooled Chiller",E$6="Water-Cooled Chiller"),OR(E$9="Screw",E$9="Scroll",E$9="Reciprocating")),20,IF(AND(OR(E$6="Air-Cooled Chiller",E$6="Water-Cooled Chiller"),E$9="Centrifugal"),25,0))))</f>
        <v>0</v>
      </c>
      <c r="F27" s="77">
        <f t="shared" si="5"/>
        <v>0</v>
      </c>
      <c r="G27" s="77">
        <f t="shared" si="5"/>
        <v>0</v>
      </c>
      <c r="H27" s="77">
        <f t="shared" si="5"/>
        <v>0</v>
      </c>
      <c r="I27" s="77">
        <f t="shared" si="5"/>
        <v>0</v>
      </c>
      <c r="J27" s="77">
        <f t="shared" si="5"/>
        <v>0</v>
      </c>
      <c r="K27" s="77">
        <f t="shared" si="5"/>
        <v>0</v>
      </c>
      <c r="L27" s="77">
        <f t="shared" si="5"/>
        <v>0</v>
      </c>
      <c r="M27" s="77">
        <f t="shared" si="5"/>
        <v>0</v>
      </c>
    </row>
    <row r="28" spans="2:13" ht="30" customHeight="1" x14ac:dyDescent="0.25">
      <c r="B28" s="24" t="s">
        <v>104</v>
      </c>
      <c r="D28" s="77">
        <v>0</v>
      </c>
      <c r="E28" s="77">
        <v>0</v>
      </c>
      <c r="F28" s="77">
        <v>0</v>
      </c>
      <c r="G28" s="77">
        <v>0</v>
      </c>
      <c r="H28" s="77">
        <v>0</v>
      </c>
      <c r="I28" s="77">
        <v>0</v>
      </c>
      <c r="J28" s="77">
        <v>0</v>
      </c>
      <c r="K28" s="77">
        <v>0</v>
      </c>
      <c r="L28" s="77">
        <v>0</v>
      </c>
      <c r="M28" s="77">
        <v>0</v>
      </c>
    </row>
    <row r="29" spans="2:13" ht="30" customHeight="1" x14ac:dyDescent="0.25">
      <c r="B29" s="24" t="s">
        <v>105</v>
      </c>
      <c r="D29" s="77">
        <f t="shared" ref="D29:M29" si="6">D27-D28</f>
        <v>0</v>
      </c>
      <c r="E29" s="77">
        <f t="shared" si="6"/>
        <v>0</v>
      </c>
      <c r="F29" s="77">
        <f t="shared" si="6"/>
        <v>0</v>
      </c>
      <c r="G29" s="77">
        <f t="shared" si="6"/>
        <v>0</v>
      </c>
      <c r="H29" s="77">
        <f t="shared" si="6"/>
        <v>0</v>
      </c>
      <c r="I29" s="77">
        <f t="shared" si="6"/>
        <v>0</v>
      </c>
      <c r="J29" s="77">
        <f t="shared" si="6"/>
        <v>0</v>
      </c>
      <c r="K29" s="77">
        <f t="shared" si="6"/>
        <v>0</v>
      </c>
      <c r="L29" s="77">
        <f t="shared" si="6"/>
        <v>0</v>
      </c>
      <c r="M29" s="77">
        <f t="shared" si="6"/>
        <v>0</v>
      </c>
    </row>
    <row r="30" spans="2:13" x14ac:dyDescent="0.25">
      <c r="B30" s="24"/>
      <c r="D30" s="40"/>
      <c r="E30" s="40"/>
    </row>
    <row r="31" spans="2:13" hidden="1" x14ac:dyDescent="0.25">
      <c r="B31" s="24" t="s">
        <v>95</v>
      </c>
      <c r="D31" s="45">
        <f t="shared" ref="D31:M31" si="7">IFERROR(IF(D$6="",0,IF(D$6="Water-Cooled Chiller",D$8*D$12*D$24*((1/(12/D$14))-(1/(12/D$20)))/1000,D$8*D$12*D$24*((1/D$14)-1/(D$20))/1000)),0)</f>
        <v>0</v>
      </c>
      <c r="E31" s="45">
        <f t="shared" si="7"/>
        <v>0</v>
      </c>
      <c r="F31" s="45">
        <f t="shared" si="7"/>
        <v>0</v>
      </c>
      <c r="G31" s="45">
        <f t="shared" si="7"/>
        <v>0</v>
      </c>
      <c r="H31" s="45">
        <f t="shared" si="7"/>
        <v>0</v>
      </c>
      <c r="I31" s="45">
        <f t="shared" si="7"/>
        <v>0</v>
      </c>
      <c r="J31" s="45">
        <f t="shared" si="7"/>
        <v>0</v>
      </c>
      <c r="K31" s="45">
        <f t="shared" si="7"/>
        <v>0</v>
      </c>
      <c r="L31" s="45">
        <f t="shared" si="7"/>
        <v>0</v>
      </c>
      <c r="M31" s="45">
        <f t="shared" si="7"/>
        <v>0</v>
      </c>
    </row>
    <row r="32" spans="2:13" ht="5.0999999999999996" hidden="1" customHeight="1" x14ac:dyDescent="0.25">
      <c r="B32" s="24"/>
      <c r="D32" s="40"/>
      <c r="E32" s="40"/>
    </row>
    <row r="33" spans="2:13" hidden="1" x14ac:dyDescent="0.25">
      <c r="B33" s="24" t="s">
        <v>96</v>
      </c>
      <c r="D33" s="45">
        <f>IFERROR(IF(AND(OR(D$6="Packaged DX Heat Pump",D$6="Split DX Heat Pump"),D$13&lt;65000),D$8*D$13*D$25*((1/D$16)-1/(D$22))/1000,IF(AND(OR(D$6="Packaged DX Heat Pump",D$6="Split DX Heat Pump"),D$13&gt;=65000),D$8*D$13*D$25*0.293*((1/D$16)-1/(D$22))/1000,0)),0)</f>
        <v>0</v>
      </c>
      <c r="E33" s="45">
        <f t="shared" ref="E33:M33" si="8">IFERROR(IF(AND(OR(E$6="Packaged DX Heat Pump",E$6="Split DX Heat Pump"),E$13&lt;65000),E$8*E$13*E$25*((1/E$16)-1/(E$22))/1000,IF(AND(OR(E$6="Packaged DX Heat Pump",E$6="Split DX Heat Pump"),E$13&gt;=65000),E$8*E$13*E$25*0.293*((1/E$16)-1/(E$22))/1000,0)),0)</f>
        <v>0</v>
      </c>
      <c r="F33" s="45">
        <f t="shared" si="8"/>
        <v>0</v>
      </c>
      <c r="G33" s="45">
        <f t="shared" si="8"/>
        <v>0</v>
      </c>
      <c r="H33" s="45">
        <f t="shared" si="8"/>
        <v>0</v>
      </c>
      <c r="I33" s="45">
        <f t="shared" si="8"/>
        <v>0</v>
      </c>
      <c r="J33" s="45">
        <f t="shared" si="8"/>
        <v>0</v>
      </c>
      <c r="K33" s="45">
        <f t="shared" si="8"/>
        <v>0</v>
      </c>
      <c r="L33" s="45">
        <f t="shared" si="8"/>
        <v>0</v>
      </c>
      <c r="M33" s="45">
        <f t="shared" si="8"/>
        <v>0</v>
      </c>
    </row>
    <row r="34" spans="2:13" ht="5.0999999999999996" hidden="1" customHeight="1" x14ac:dyDescent="0.25">
      <c r="B34" s="24"/>
      <c r="D34" s="40"/>
      <c r="E34" s="40"/>
    </row>
    <row r="35" spans="2:13" hidden="1" x14ac:dyDescent="0.25">
      <c r="B35" s="24" t="s">
        <v>97</v>
      </c>
      <c r="D35" s="45">
        <f t="shared" ref="D35:M35" si="9">SUM(D31,D33)</f>
        <v>0</v>
      </c>
      <c r="E35" s="45">
        <f t="shared" si="9"/>
        <v>0</v>
      </c>
      <c r="F35" s="45">
        <f t="shared" si="9"/>
        <v>0</v>
      </c>
      <c r="G35" s="45">
        <f t="shared" si="9"/>
        <v>0</v>
      </c>
      <c r="H35" s="45">
        <f t="shared" si="9"/>
        <v>0</v>
      </c>
      <c r="I35" s="45">
        <f t="shared" si="9"/>
        <v>0</v>
      </c>
      <c r="J35" s="45">
        <f t="shared" si="9"/>
        <v>0</v>
      </c>
      <c r="K35" s="45">
        <f t="shared" si="9"/>
        <v>0</v>
      </c>
      <c r="L35" s="45">
        <f t="shared" si="9"/>
        <v>0</v>
      </c>
      <c r="M35" s="45">
        <f t="shared" si="9"/>
        <v>0</v>
      </c>
    </row>
    <row r="36" spans="2:13" ht="5.0999999999999996" hidden="1" customHeight="1" x14ac:dyDescent="0.25">
      <c r="B36" s="24"/>
      <c r="D36" s="40"/>
      <c r="E36" s="40"/>
    </row>
    <row r="37" spans="2:13" ht="15" hidden="1" customHeight="1" x14ac:dyDescent="0.25">
      <c r="B37" s="24" t="s">
        <v>53</v>
      </c>
      <c r="D37" s="48">
        <f t="shared" ref="D37:M37" si="10">IFERROR(IF(D$6="",0,IF(D$6="Water-Cooled Chiller",D$8*D$12*D$26*((1/(12/D$15))-(1/(12/D$21)))/1000,D$8*D$12*D$26*((1/D$15)-1/(D$21))/1000)),0)</f>
        <v>0</v>
      </c>
      <c r="E37" s="48">
        <f t="shared" si="10"/>
        <v>0</v>
      </c>
      <c r="F37" s="48">
        <f t="shared" si="10"/>
        <v>0</v>
      </c>
      <c r="G37" s="48">
        <f t="shared" si="10"/>
        <v>0</v>
      </c>
      <c r="H37" s="48">
        <f t="shared" si="10"/>
        <v>0</v>
      </c>
      <c r="I37" s="48">
        <f t="shared" si="10"/>
        <v>0</v>
      </c>
      <c r="J37" s="48">
        <f t="shared" si="10"/>
        <v>0</v>
      </c>
      <c r="K37" s="48">
        <f t="shared" si="10"/>
        <v>0</v>
      </c>
      <c r="L37" s="48">
        <f t="shared" si="10"/>
        <v>0</v>
      </c>
      <c r="M37" s="48">
        <f t="shared" si="10"/>
        <v>0</v>
      </c>
    </row>
    <row r="38" spans="2:13" ht="5.0999999999999996" hidden="1" customHeight="1" x14ac:dyDescent="0.25">
      <c r="B38" s="24"/>
      <c r="D38" s="40"/>
      <c r="E38" s="40"/>
    </row>
    <row r="39" spans="2:13" hidden="1" x14ac:dyDescent="0.25">
      <c r="B39" s="24" t="s">
        <v>100</v>
      </c>
      <c r="D39" s="45">
        <f t="shared" ref="D39:M39" si="11">IFERROR(IF(D$6="",0,IF(D$6="Water-Cooled Chiller",D$8*D$12*D$24*((1/(12/D$17))-(1/(12/D$20)))/1000,D$8*D$12*D$24*((1/D$17)-1/(D$20))/1000)),0)</f>
        <v>0</v>
      </c>
      <c r="E39" s="45">
        <f t="shared" si="11"/>
        <v>0</v>
      </c>
      <c r="F39" s="45">
        <f t="shared" si="11"/>
        <v>0</v>
      </c>
      <c r="G39" s="45">
        <f t="shared" si="11"/>
        <v>0</v>
      </c>
      <c r="H39" s="45">
        <f t="shared" si="11"/>
        <v>0</v>
      </c>
      <c r="I39" s="45">
        <f t="shared" si="11"/>
        <v>0</v>
      </c>
      <c r="J39" s="45">
        <f t="shared" si="11"/>
        <v>0</v>
      </c>
      <c r="K39" s="45">
        <f t="shared" si="11"/>
        <v>0</v>
      </c>
      <c r="L39" s="45">
        <f t="shared" si="11"/>
        <v>0</v>
      </c>
      <c r="M39" s="45">
        <f t="shared" si="11"/>
        <v>0</v>
      </c>
    </row>
    <row r="40" spans="2:13" ht="5.0999999999999996" hidden="1" customHeight="1" x14ac:dyDescent="0.25">
      <c r="B40" s="24"/>
      <c r="D40" s="40"/>
      <c r="E40" s="40"/>
    </row>
    <row r="41" spans="2:13" hidden="1" x14ac:dyDescent="0.25">
      <c r="B41" s="24" t="s">
        <v>98</v>
      </c>
      <c r="D41" s="45">
        <f>IFERROR(IF(AND(OR(D$6="Packaged DX Heat Pump",D$6="Split DX Heat Pump"),D$13&lt;65000),D$8*D$13*D$25*((1/D$19)-1/(D$22))/1000,IF(AND(OR(D$6="Packaged DX Heat Pump",D$6="Split DX Heat Pump"),D$13&gt;=65000),D$8*D$13*D$25*0.293*((1/D$19)-1/(D$22))/1000,0)),0)</f>
        <v>0</v>
      </c>
      <c r="E41" s="45">
        <f t="shared" ref="E41:M41" si="12">IFERROR(IF(AND(OR(E$6="Packaged DX Heat Pump",E$6="Split DX Heat Pump"),E$13&lt;65000),E$8*E$13*E$25*((1/E$19)-1/(E$22))/1000,IF(AND(OR(E$6="Packaged DX Heat Pump",E$6="Split DX Heat Pump"),E$13&gt;=65000),E$8*E$13*E$25*0.293*((1/E$19)-1/(E$22))/1000,0)),0)</f>
        <v>0</v>
      </c>
      <c r="F41" s="45">
        <f t="shared" si="12"/>
        <v>0</v>
      </c>
      <c r="G41" s="45">
        <f t="shared" si="12"/>
        <v>0</v>
      </c>
      <c r="H41" s="45">
        <f t="shared" si="12"/>
        <v>0</v>
      </c>
      <c r="I41" s="45">
        <f t="shared" si="12"/>
        <v>0</v>
      </c>
      <c r="J41" s="45">
        <f t="shared" si="12"/>
        <v>0</v>
      </c>
      <c r="K41" s="45">
        <f t="shared" si="12"/>
        <v>0</v>
      </c>
      <c r="L41" s="45">
        <f t="shared" si="12"/>
        <v>0</v>
      </c>
      <c r="M41" s="45">
        <f t="shared" si="12"/>
        <v>0</v>
      </c>
    </row>
    <row r="42" spans="2:13" ht="5.0999999999999996" hidden="1" customHeight="1" x14ac:dyDescent="0.25">
      <c r="B42" s="24"/>
      <c r="D42" s="40"/>
      <c r="E42" s="40"/>
    </row>
    <row r="43" spans="2:13" hidden="1" x14ac:dyDescent="0.25">
      <c r="B43" s="24" t="s">
        <v>99</v>
      </c>
      <c r="D43" s="45">
        <f t="shared" ref="D43:M43" si="13">SUM(D39,D41)</f>
        <v>0</v>
      </c>
      <c r="E43" s="45">
        <f t="shared" si="13"/>
        <v>0</v>
      </c>
      <c r="F43" s="45">
        <f t="shared" si="13"/>
        <v>0</v>
      </c>
      <c r="G43" s="45">
        <f t="shared" si="13"/>
        <v>0</v>
      </c>
      <c r="H43" s="45">
        <f t="shared" si="13"/>
        <v>0</v>
      </c>
      <c r="I43" s="45">
        <f t="shared" si="13"/>
        <v>0</v>
      </c>
      <c r="J43" s="45">
        <f t="shared" si="13"/>
        <v>0</v>
      </c>
      <c r="K43" s="45">
        <f t="shared" si="13"/>
        <v>0</v>
      </c>
      <c r="L43" s="45">
        <f t="shared" si="13"/>
        <v>0</v>
      </c>
      <c r="M43" s="45">
        <f t="shared" si="13"/>
        <v>0</v>
      </c>
    </row>
    <row r="44" spans="2:13" ht="5.0999999999999996" hidden="1" customHeight="1" x14ac:dyDescent="0.25">
      <c r="B44" s="24"/>
      <c r="D44" s="40"/>
      <c r="E44" s="40"/>
    </row>
    <row r="45" spans="2:13" ht="15" hidden="1" customHeight="1" x14ac:dyDescent="0.25">
      <c r="B45" s="24" t="s">
        <v>54</v>
      </c>
      <c r="D45" s="48">
        <f t="shared" ref="D45:M45" si="14">IFERROR(IF(D$6="",0,IF(D$6="Water-Cooled Chiller",D$8*D$12*D$26*((1/(12/D$18))-(1/(12/D$21)))/1000,D$8*D$12*D$26*((1/D$18)-1/(D$21))/1000)),0)</f>
        <v>0</v>
      </c>
      <c r="E45" s="48">
        <f t="shared" si="14"/>
        <v>0</v>
      </c>
      <c r="F45" s="48">
        <f t="shared" si="14"/>
        <v>0</v>
      </c>
      <c r="G45" s="48">
        <f t="shared" si="14"/>
        <v>0</v>
      </c>
      <c r="H45" s="48">
        <f t="shared" si="14"/>
        <v>0</v>
      </c>
      <c r="I45" s="48">
        <f t="shared" si="14"/>
        <v>0</v>
      </c>
      <c r="J45" s="48">
        <f t="shared" si="14"/>
        <v>0</v>
      </c>
      <c r="K45" s="48">
        <f t="shared" si="14"/>
        <v>0</v>
      </c>
      <c r="L45" s="48">
        <f t="shared" si="14"/>
        <v>0</v>
      </c>
      <c r="M45" s="48">
        <f t="shared" si="14"/>
        <v>0</v>
      </c>
    </row>
    <row r="46" spans="2:13" x14ac:dyDescent="0.25">
      <c r="B46" s="24"/>
      <c r="D46" s="40"/>
      <c r="E46" s="40"/>
    </row>
    <row r="47" spans="2:13" ht="30" customHeight="1" x14ac:dyDescent="0.25">
      <c r="B47" s="24" t="s">
        <v>49</v>
      </c>
      <c r="D47" s="74">
        <f>IF(OR(D$2="",D$3="",D$6="",D$8="",AND(OR(D$6="Air-Cooled Chiller",D$6="Water-Cooled Chiller"),D$9=""),AND(D$6="Water-Cooled Chiller",D$10=""),D$11="",D$12="",D$20="",D$21="",AND(OR(D$6="Split DX Heat Pump",D$6="Packaged DX Heat Pump"),D$22="")),0,D$45)</f>
        <v>0</v>
      </c>
      <c r="E47" s="74">
        <f t="shared" ref="E47:M47" si="15">IF(OR(E$2="",E$3="",E$6="",E$8="",AND(OR(E$6="Air-Cooled Chiller",E$6="Water-Cooled Chiller"),E$9=""),AND(E$6="Water-Cooled Chiller",E$10=""),E$11="",E$12="",E$20="",E$21="",AND(OR(E$6="Split DX Heat Pump",E$6="Packaged DX Heat Pump"),E$22="")),0,E$45)</f>
        <v>0</v>
      </c>
      <c r="F47" s="74">
        <f t="shared" si="15"/>
        <v>0</v>
      </c>
      <c r="G47" s="74">
        <f t="shared" si="15"/>
        <v>0</v>
      </c>
      <c r="H47" s="74">
        <f t="shared" si="15"/>
        <v>0</v>
      </c>
      <c r="I47" s="74">
        <f t="shared" si="15"/>
        <v>0</v>
      </c>
      <c r="J47" s="74">
        <f t="shared" si="15"/>
        <v>0</v>
      </c>
      <c r="K47" s="74">
        <f t="shared" si="15"/>
        <v>0</v>
      </c>
      <c r="L47" s="74">
        <f t="shared" si="15"/>
        <v>0</v>
      </c>
      <c r="M47" s="74">
        <f t="shared" si="15"/>
        <v>0</v>
      </c>
    </row>
    <row r="48" spans="2:13" ht="30" customHeight="1" x14ac:dyDescent="0.25">
      <c r="B48" s="24" t="s">
        <v>48</v>
      </c>
      <c r="D48" s="73">
        <f>IF(OR(D$2="",D$3="",D$6="",D$8="",AND(OR(D$6="Air-Cooled Chiller",D$6="Water-Cooled Chiller"),D$9=""),AND(D$6="Water-Cooled Chiller",D$10=""),D$11="",D$12="",D$20="",D$21="",AND(OR(D$6="Split DX Heat Pump",D$6="Packaged DX Heat Pump"),D$22="")),0,D$43)</f>
        <v>0</v>
      </c>
      <c r="E48" s="73">
        <f t="shared" ref="E48:M48" si="16">IF(OR(E$2="",E$3="",E$6="",E$8="",AND(OR(E$6="Air-Cooled Chiller",E$6="Water-Cooled Chiller"),E$9=""),AND(E$6="Water-Cooled Chiller",E$10=""),E$11="",E$12="",E$20="",E$21="",AND(OR(E$6="Split DX Heat Pump",E$6="Packaged DX Heat Pump"),E$22="")),0,E$43)</f>
        <v>0</v>
      </c>
      <c r="F48" s="73">
        <f t="shared" si="16"/>
        <v>0</v>
      </c>
      <c r="G48" s="73">
        <f t="shared" si="16"/>
        <v>0</v>
      </c>
      <c r="H48" s="73">
        <f t="shared" si="16"/>
        <v>0</v>
      </c>
      <c r="I48" s="73">
        <f t="shared" si="16"/>
        <v>0</v>
      </c>
      <c r="J48" s="73">
        <f t="shared" si="16"/>
        <v>0</v>
      </c>
      <c r="K48" s="73">
        <f t="shared" si="16"/>
        <v>0</v>
      </c>
      <c r="L48" s="73">
        <f t="shared" si="16"/>
        <v>0</v>
      </c>
      <c r="M48" s="73">
        <f t="shared" si="16"/>
        <v>0</v>
      </c>
    </row>
    <row r="49" spans="2:13" x14ac:dyDescent="0.25">
      <c r="B49" s="24"/>
      <c r="D49" s="40"/>
      <c r="E49" s="40"/>
    </row>
    <row r="50" spans="2:13" ht="30" customHeight="1" x14ac:dyDescent="0.25">
      <c r="B50" s="24" t="s">
        <v>153</v>
      </c>
      <c r="D50" s="85">
        <f t="shared" ref="D50:M50" si="17">IF(D$6="",0,VLOOKUP(D$95,$D$99:$F$110,2,FALSE))</f>
        <v>0</v>
      </c>
      <c r="E50" s="85">
        <f t="shared" si="17"/>
        <v>0</v>
      </c>
      <c r="F50" s="85">
        <f t="shared" si="17"/>
        <v>0</v>
      </c>
      <c r="G50" s="85">
        <f t="shared" si="17"/>
        <v>0</v>
      </c>
      <c r="H50" s="85">
        <f t="shared" si="17"/>
        <v>0</v>
      </c>
      <c r="I50" s="85">
        <f t="shared" si="17"/>
        <v>0</v>
      </c>
      <c r="J50" s="85">
        <f t="shared" si="17"/>
        <v>0</v>
      </c>
      <c r="K50" s="85">
        <f t="shared" si="17"/>
        <v>0</v>
      </c>
      <c r="L50" s="85">
        <f t="shared" si="17"/>
        <v>0</v>
      </c>
      <c r="M50" s="85">
        <f t="shared" si="17"/>
        <v>0</v>
      </c>
    </row>
    <row r="51" spans="2:13" ht="30" customHeight="1" x14ac:dyDescent="0.25">
      <c r="B51" s="24" t="s">
        <v>154</v>
      </c>
      <c r="D51" s="85">
        <f t="shared" ref="D51:M51" si="18">IF(D$6="",0,VLOOKUP(D$95,$D$99:$F$110,3,FALSE))</f>
        <v>0</v>
      </c>
      <c r="E51" s="85">
        <f t="shared" si="18"/>
        <v>0</v>
      </c>
      <c r="F51" s="85">
        <f t="shared" si="18"/>
        <v>0</v>
      </c>
      <c r="G51" s="85">
        <f t="shared" si="18"/>
        <v>0</v>
      </c>
      <c r="H51" s="85">
        <f t="shared" si="18"/>
        <v>0</v>
      </c>
      <c r="I51" s="85">
        <f t="shared" si="18"/>
        <v>0</v>
      </c>
      <c r="J51" s="85">
        <f t="shared" si="18"/>
        <v>0</v>
      </c>
      <c r="K51" s="85">
        <f t="shared" si="18"/>
        <v>0</v>
      </c>
      <c r="L51" s="85">
        <f t="shared" si="18"/>
        <v>0</v>
      </c>
      <c r="M51" s="85">
        <f t="shared" si="18"/>
        <v>0</v>
      </c>
    </row>
    <row r="52" spans="2:13" ht="30" customHeight="1" x14ac:dyDescent="0.25">
      <c r="B52" s="24" t="s">
        <v>152</v>
      </c>
      <c r="D52" s="72">
        <f t="shared" ref="D52:M52" si="19">IF(D$2="",0,D$50*D$47+D$51*D$48)</f>
        <v>0</v>
      </c>
      <c r="E52" s="72">
        <f t="shared" si="19"/>
        <v>0</v>
      </c>
      <c r="F52" s="72">
        <f t="shared" si="19"/>
        <v>0</v>
      </c>
      <c r="G52" s="72">
        <f t="shared" si="19"/>
        <v>0</v>
      </c>
      <c r="H52" s="72">
        <f t="shared" si="19"/>
        <v>0</v>
      </c>
      <c r="I52" s="72">
        <f t="shared" si="19"/>
        <v>0</v>
      </c>
      <c r="J52" s="72">
        <f t="shared" si="19"/>
        <v>0</v>
      </c>
      <c r="K52" s="72">
        <f t="shared" si="19"/>
        <v>0</v>
      </c>
      <c r="L52" s="72">
        <f t="shared" si="19"/>
        <v>0</v>
      </c>
      <c r="M52" s="72">
        <f t="shared" si="19"/>
        <v>0</v>
      </c>
    </row>
    <row r="53" spans="2:13" hidden="1" x14ac:dyDescent="0.25"/>
    <row r="54" spans="2:13" s="49" customFormat="1" hidden="1" x14ac:dyDescent="0.25">
      <c r="B54" s="50" t="s">
        <v>106</v>
      </c>
      <c r="D54" s="51" t="s">
        <v>111</v>
      </c>
      <c r="E54" s="51" t="s">
        <v>111</v>
      </c>
      <c r="F54" s="51" t="s">
        <v>111</v>
      </c>
      <c r="G54" s="51" t="s">
        <v>111</v>
      </c>
      <c r="H54" s="51" t="s">
        <v>111</v>
      </c>
      <c r="I54" s="51" t="s">
        <v>111</v>
      </c>
      <c r="J54" s="51" t="s">
        <v>111</v>
      </c>
      <c r="K54" s="51" t="s">
        <v>111</v>
      </c>
      <c r="L54" s="51" t="s">
        <v>111</v>
      </c>
      <c r="M54" s="51" t="s">
        <v>111</v>
      </c>
    </row>
    <row r="55" spans="2:13" s="49" customFormat="1" hidden="1" x14ac:dyDescent="0.25">
      <c r="B55" s="52" t="s">
        <v>137</v>
      </c>
      <c r="D55" s="53">
        <f>IF(OR(D$6&lt;&gt;$B55,D$12=""),0,IF(D$12&lt;65000,1,IF(AND(D$12&gt;=65000,D$12&lt;135000),3,IF(AND(D$12&gt;=135000,D$12&lt;240000),4,IF(AND(D$12&gt;=240000,D$12&lt;760000),5,IF(D$12&gt;=760000,6,0))))))</f>
        <v>0</v>
      </c>
      <c r="E55" s="53">
        <f t="shared" ref="E55:M55" si="20">IF(OR(E$6&lt;&gt;$B55,E$12=""),0,IF(E$12&lt;65000,1,IF(AND(E$12&gt;=65000,E$12&lt;135000),3,IF(AND(E$12&gt;=135000,E$12&lt;240000),4,IF(AND(E$12&gt;=240000,E$12&lt;760000),5,IF(E$12&gt;=760000,6,0))))))</f>
        <v>0</v>
      </c>
      <c r="F55" s="53">
        <f t="shared" si="20"/>
        <v>0</v>
      </c>
      <c r="G55" s="53">
        <f t="shared" si="20"/>
        <v>0</v>
      </c>
      <c r="H55" s="53">
        <f t="shared" si="20"/>
        <v>0</v>
      </c>
      <c r="I55" s="53">
        <f t="shared" si="20"/>
        <v>0</v>
      </c>
      <c r="J55" s="53">
        <f t="shared" si="20"/>
        <v>0</v>
      </c>
      <c r="K55" s="53">
        <f t="shared" si="20"/>
        <v>0</v>
      </c>
      <c r="L55" s="53">
        <f t="shared" si="20"/>
        <v>0</v>
      </c>
      <c r="M55" s="53">
        <f t="shared" si="20"/>
        <v>0</v>
      </c>
    </row>
    <row r="56" spans="2:13" s="49" customFormat="1" hidden="1" x14ac:dyDescent="0.25">
      <c r="B56" s="52" t="s">
        <v>138</v>
      </c>
      <c r="D56" s="53">
        <f>IF(OR(D$6&lt;&gt;$B56,D$12=""),0,IF(D$12&lt;65000,2,IF(AND(D$12&gt;=65000,D$12&lt;135000),3,IF(AND(D$12&gt;=135000,D$12&lt;240000),4,IF(AND(D$12&gt;=240000,D$12&lt;760000),5,IF(D$12&gt;=760000,6,0))))))</f>
        <v>0</v>
      </c>
      <c r="E56" s="53">
        <f t="shared" ref="E56:M56" si="21">IF(OR(E$6&lt;&gt;$B56,E$12=""),0,IF(E$12&lt;65000,2,IF(AND(E$12&gt;=65000,E$12&lt;135000),3,IF(AND(E$12&gt;=135000,E$12&lt;240000),4,IF(AND(E$12&gt;=240000,E$12&lt;760000),5,IF(E$12&gt;=760000,6,0))))))</f>
        <v>0</v>
      </c>
      <c r="F56" s="53">
        <f t="shared" si="21"/>
        <v>0</v>
      </c>
      <c r="G56" s="53">
        <f t="shared" si="21"/>
        <v>0</v>
      </c>
      <c r="H56" s="53">
        <f t="shared" si="21"/>
        <v>0</v>
      </c>
      <c r="I56" s="53">
        <f t="shared" si="21"/>
        <v>0</v>
      </c>
      <c r="J56" s="53">
        <f t="shared" si="21"/>
        <v>0</v>
      </c>
      <c r="K56" s="53">
        <f t="shared" si="21"/>
        <v>0</v>
      </c>
      <c r="L56" s="53">
        <f t="shared" si="21"/>
        <v>0</v>
      </c>
      <c r="M56" s="53">
        <f t="shared" si="21"/>
        <v>0</v>
      </c>
    </row>
    <row r="57" spans="2:13" s="49" customFormat="1" hidden="1" x14ac:dyDescent="0.25">
      <c r="B57" s="52" t="s">
        <v>139</v>
      </c>
      <c r="D57" s="53">
        <f>IF(OR(D$6&lt;&gt;$B57,D$13=""),0,IF(D$13&lt;65000,1,IF(AND(D$13&gt;=65000,D$13&lt;135000),3,IF(AND(D$13&gt;=135000,D$13&lt;240000),4,IF(AND(D$13&gt;=240000,D$13&lt;760000),5,IF(D$13&gt;=760000,6,0))))))</f>
        <v>0</v>
      </c>
      <c r="E57" s="53">
        <f t="shared" ref="E57:M57" si="22">IF(OR(E$6&lt;&gt;$B57,E$13=""),0,IF(E$13&lt;65000,1,IF(AND(E$13&gt;=65000,E$13&lt;135000),3,IF(AND(E$13&gt;=135000,E$13&lt;240000),4,IF(AND(E$13&gt;=240000,E$13&lt;760000),5,IF(E$13&gt;=760000,6,0))))))</f>
        <v>0</v>
      </c>
      <c r="F57" s="53">
        <f t="shared" si="22"/>
        <v>0</v>
      </c>
      <c r="G57" s="53">
        <f t="shared" si="22"/>
        <v>0</v>
      </c>
      <c r="H57" s="53">
        <f t="shared" si="22"/>
        <v>0</v>
      </c>
      <c r="I57" s="53">
        <f t="shared" si="22"/>
        <v>0</v>
      </c>
      <c r="J57" s="53">
        <f t="shared" si="22"/>
        <v>0</v>
      </c>
      <c r="K57" s="53">
        <f t="shared" si="22"/>
        <v>0</v>
      </c>
      <c r="L57" s="53">
        <f t="shared" si="22"/>
        <v>0</v>
      </c>
      <c r="M57" s="53">
        <f t="shared" si="22"/>
        <v>0</v>
      </c>
    </row>
    <row r="58" spans="2:13" s="49" customFormat="1" hidden="1" x14ac:dyDescent="0.25">
      <c r="B58" s="52" t="s">
        <v>140</v>
      </c>
      <c r="D58" s="53">
        <f>IF(OR(D$6&lt;&gt;$B58,D$13=""),0,IF(D$13&lt;65000,2,IF(AND(D$13&gt;=65000,D$13&lt;135000),3,IF(AND(D$13&gt;=135000,D$13&lt;240000),4,IF(AND(D$13&gt;=240000,D$13&lt;760000),5,IF(D$13&gt;=760000,6,0))))))</f>
        <v>0</v>
      </c>
      <c r="E58" s="53">
        <f t="shared" ref="E58:M58" si="23">IF(OR(E$6&lt;&gt;$B58,E$13=""),0,IF(E$13&lt;65000,2,IF(AND(E$13&gt;=65000,E$13&lt;135000),3,IF(AND(E$13&gt;=135000,E$13&lt;240000),4,IF(AND(E$13&gt;=240000,E$13&lt;760000),5,IF(E$13&gt;=760000,6,0))))))</f>
        <v>0</v>
      </c>
      <c r="F58" s="53">
        <f t="shared" si="23"/>
        <v>0</v>
      </c>
      <c r="G58" s="53">
        <f t="shared" si="23"/>
        <v>0</v>
      </c>
      <c r="H58" s="53">
        <f t="shared" si="23"/>
        <v>0</v>
      </c>
      <c r="I58" s="53">
        <f t="shared" si="23"/>
        <v>0</v>
      </c>
      <c r="J58" s="53">
        <f t="shared" si="23"/>
        <v>0</v>
      </c>
      <c r="K58" s="53">
        <f t="shared" si="23"/>
        <v>0</v>
      </c>
      <c r="L58" s="53">
        <f t="shared" si="23"/>
        <v>0</v>
      </c>
      <c r="M58" s="53">
        <f t="shared" si="23"/>
        <v>0</v>
      </c>
    </row>
    <row r="59" spans="2:13" s="49" customFormat="1" hidden="1" x14ac:dyDescent="0.25">
      <c r="B59" s="52" t="s">
        <v>91</v>
      </c>
      <c r="D59" s="53">
        <f t="shared" ref="D59:M59" si="24">IF(OR(D$6&lt;&gt;$B59,D$12=""),0,IF(D$12&lt;1800000,1,IF(D$12&gt;=1800000,2,0)))</f>
        <v>0</v>
      </c>
      <c r="E59" s="53">
        <f t="shared" si="24"/>
        <v>0</v>
      </c>
      <c r="F59" s="53">
        <f t="shared" si="24"/>
        <v>0</v>
      </c>
      <c r="G59" s="53">
        <f t="shared" si="24"/>
        <v>0</v>
      </c>
      <c r="H59" s="53">
        <f t="shared" si="24"/>
        <v>0</v>
      </c>
      <c r="I59" s="53">
        <f t="shared" si="24"/>
        <v>0</v>
      </c>
      <c r="J59" s="53">
        <f t="shared" si="24"/>
        <v>0</v>
      </c>
      <c r="K59" s="53">
        <f t="shared" si="24"/>
        <v>0</v>
      </c>
      <c r="L59" s="53">
        <f t="shared" si="24"/>
        <v>0</v>
      </c>
      <c r="M59" s="53">
        <f t="shared" si="24"/>
        <v>0</v>
      </c>
    </row>
    <row r="60" spans="2:13" s="49" customFormat="1" hidden="1" x14ac:dyDescent="0.25">
      <c r="B60" s="52" t="s">
        <v>92</v>
      </c>
      <c r="D60" s="53">
        <f t="shared" ref="D60:M60" si="25">IF(OR(D$6&lt;&gt;$B60,D$12=""),0,IF(D$12&lt;900000,1,IF(AND(D$12&gt;=900000,D$12&lt;1800000),2,IF(AND(D$12&gt;=1800000,D$12&lt;3600000),3,IF(AND(D$12&gt;=3600000,D$12&lt;4800000),4,IF(AND(D$12&gt;=4800000,D$12&lt;7200000),5,IF(D$12&gt;=7200000,6,0)))))))</f>
        <v>0</v>
      </c>
      <c r="E60" s="53">
        <f t="shared" si="25"/>
        <v>0</v>
      </c>
      <c r="F60" s="53">
        <f t="shared" si="25"/>
        <v>0</v>
      </c>
      <c r="G60" s="53">
        <f t="shared" si="25"/>
        <v>0</v>
      </c>
      <c r="H60" s="53">
        <f t="shared" si="25"/>
        <v>0</v>
      </c>
      <c r="I60" s="53">
        <f t="shared" si="25"/>
        <v>0</v>
      </c>
      <c r="J60" s="53">
        <f t="shared" si="25"/>
        <v>0</v>
      </c>
      <c r="K60" s="53">
        <f t="shared" si="25"/>
        <v>0</v>
      </c>
      <c r="L60" s="53">
        <f t="shared" si="25"/>
        <v>0</v>
      </c>
      <c r="M60" s="53">
        <f t="shared" si="25"/>
        <v>0</v>
      </c>
    </row>
    <row r="61" spans="2:13" s="49" customFormat="1" hidden="1" x14ac:dyDescent="0.25">
      <c r="D61" s="51"/>
      <c r="E61" s="51"/>
      <c r="F61" s="51"/>
      <c r="G61" s="51"/>
      <c r="H61" s="51"/>
      <c r="I61" s="51"/>
      <c r="J61" s="51"/>
      <c r="K61" s="51"/>
      <c r="L61" s="51"/>
      <c r="M61" s="51"/>
    </row>
    <row r="62" spans="2:13" s="49" customFormat="1" hidden="1" x14ac:dyDescent="0.25">
      <c r="B62" s="52" t="s">
        <v>110</v>
      </c>
      <c r="D62" s="54">
        <f>MAX(D55:D60)</f>
        <v>0</v>
      </c>
      <c r="E62" s="54">
        <f t="shared" ref="E62:M62" si="26">MAX(E55:E60)</f>
        <v>0</v>
      </c>
      <c r="F62" s="54">
        <f t="shared" si="26"/>
        <v>0</v>
      </c>
      <c r="G62" s="54">
        <f t="shared" si="26"/>
        <v>0</v>
      </c>
      <c r="H62" s="54">
        <f t="shared" si="26"/>
        <v>0</v>
      </c>
      <c r="I62" s="54">
        <f t="shared" si="26"/>
        <v>0</v>
      </c>
      <c r="J62" s="54">
        <f t="shared" si="26"/>
        <v>0</v>
      </c>
      <c r="K62" s="54">
        <f t="shared" si="26"/>
        <v>0</v>
      </c>
      <c r="L62" s="54">
        <f t="shared" si="26"/>
        <v>0</v>
      </c>
      <c r="M62" s="54">
        <f t="shared" si="26"/>
        <v>0</v>
      </c>
    </row>
    <row r="63" spans="2:13" s="49" customFormat="1" hidden="1" x14ac:dyDescent="0.25">
      <c r="D63" s="51"/>
      <c r="E63" s="51"/>
      <c r="F63" s="51"/>
      <c r="G63" s="51"/>
      <c r="H63" s="51"/>
      <c r="I63" s="51"/>
      <c r="J63" s="51"/>
      <c r="K63" s="51"/>
      <c r="L63" s="51"/>
      <c r="M63" s="51"/>
    </row>
    <row r="64" spans="2:13" s="49" customFormat="1" hidden="1" x14ac:dyDescent="0.25">
      <c r="D64" s="51" t="s">
        <v>108</v>
      </c>
      <c r="E64" s="51" t="s">
        <v>108</v>
      </c>
      <c r="F64" s="51" t="s">
        <v>108</v>
      </c>
      <c r="G64" s="51" t="s">
        <v>108</v>
      </c>
      <c r="H64" s="51" t="s">
        <v>108</v>
      </c>
      <c r="I64" s="51" t="s">
        <v>108</v>
      </c>
      <c r="J64" s="51" t="s">
        <v>108</v>
      </c>
      <c r="K64" s="51" t="s">
        <v>108</v>
      </c>
      <c r="L64" s="51" t="s">
        <v>108</v>
      </c>
      <c r="M64" s="51" t="s">
        <v>108</v>
      </c>
    </row>
    <row r="65" spans="2:13" s="49" customFormat="1" hidden="1" x14ac:dyDescent="0.25">
      <c r="B65" s="52" t="s">
        <v>137</v>
      </c>
      <c r="D65" s="55">
        <f>IF(D55&lt;&gt;0,VLOOKUP(D$62,'Factor Tables'!$B$74:$E$79,2,FALSE),0)</f>
        <v>0</v>
      </c>
      <c r="E65" s="55">
        <f>IF(E55&lt;&gt;0,VLOOKUP(E$62,'Factor Tables'!$B$74:$E$79,2,FALSE),0)</f>
        <v>0</v>
      </c>
      <c r="F65" s="55">
        <f>IF(F55&lt;&gt;0,VLOOKUP(F$62,'Factor Tables'!$B$74:$E$79,2,FALSE),0)</f>
        <v>0</v>
      </c>
      <c r="G65" s="55">
        <f>IF(G55&lt;&gt;0,VLOOKUP(G$62,'Factor Tables'!$B$74:$E$79,2,FALSE),0)</f>
        <v>0</v>
      </c>
      <c r="H65" s="55">
        <f>IF(H55&lt;&gt;0,VLOOKUP(H$62,'Factor Tables'!$B$74:$E$79,2,FALSE),0)</f>
        <v>0</v>
      </c>
      <c r="I65" s="55">
        <f>IF(I55&lt;&gt;0,VLOOKUP(I$62,'Factor Tables'!$B$74:$E$79,2,FALSE),0)</f>
        <v>0</v>
      </c>
      <c r="J65" s="55">
        <f>IF(J55&lt;&gt;0,VLOOKUP(J$62,'Factor Tables'!$B$74:$E$79,2,FALSE),0)</f>
        <v>0</v>
      </c>
      <c r="K65" s="55">
        <f>IF(K55&lt;&gt;0,VLOOKUP(K$62,'Factor Tables'!$B$74:$E$79,2,FALSE),0)</f>
        <v>0</v>
      </c>
      <c r="L65" s="55">
        <f>IF(L55&lt;&gt;0,VLOOKUP(L$62,'Factor Tables'!$B$74:$E$79,2,FALSE),0)</f>
        <v>0</v>
      </c>
      <c r="M65" s="55">
        <f>IF(M55&lt;&gt;0,VLOOKUP(M$62,'Factor Tables'!$B$74:$E$79,2,FALSE),0)</f>
        <v>0</v>
      </c>
    </row>
    <row r="66" spans="2:13" s="49" customFormat="1" hidden="1" x14ac:dyDescent="0.25">
      <c r="B66" s="52" t="s">
        <v>138</v>
      </c>
      <c r="D66" s="55">
        <f>IF(D56&lt;&gt;0,VLOOKUP(D$62,'Factor Tables'!$B$74:$E$79,2,FALSE),0)</f>
        <v>0</v>
      </c>
      <c r="E66" s="55">
        <f>IF(E56&lt;&gt;0,VLOOKUP(E$62,'Factor Tables'!$B$74:$E$79,2,FALSE),0)</f>
        <v>0</v>
      </c>
      <c r="F66" s="55">
        <f>IF(F56&lt;&gt;0,VLOOKUP(F$62,'Factor Tables'!$B$74:$E$79,2,FALSE),0)</f>
        <v>0</v>
      </c>
      <c r="G66" s="55">
        <f>IF(G56&lt;&gt;0,VLOOKUP(G$62,'Factor Tables'!$B$74:$E$79,2,FALSE),0)</f>
        <v>0</v>
      </c>
      <c r="H66" s="55">
        <f>IF(H56&lt;&gt;0,VLOOKUP(H$62,'Factor Tables'!$B$74:$E$79,2,FALSE),0)</f>
        <v>0</v>
      </c>
      <c r="I66" s="55">
        <f>IF(I56&lt;&gt;0,VLOOKUP(I$62,'Factor Tables'!$B$74:$E$79,2,FALSE),0)</f>
        <v>0</v>
      </c>
      <c r="J66" s="55">
        <f>IF(J56&lt;&gt;0,VLOOKUP(J$62,'Factor Tables'!$B$74:$E$79,2,FALSE),0)</f>
        <v>0</v>
      </c>
      <c r="K66" s="55">
        <f>IF(K56&lt;&gt;0,VLOOKUP(K$62,'Factor Tables'!$B$74:$E$79,2,FALSE),0)</f>
        <v>0</v>
      </c>
      <c r="L66" s="55">
        <f>IF(L56&lt;&gt;0,VLOOKUP(L$62,'Factor Tables'!$B$74:$E$79,2,FALSE),0)</f>
        <v>0</v>
      </c>
      <c r="M66" s="55">
        <f>IF(M56&lt;&gt;0,VLOOKUP(M$62,'Factor Tables'!$B$74:$E$79,2,FALSE),0)</f>
        <v>0</v>
      </c>
    </row>
    <row r="67" spans="2:13" s="49" customFormat="1" hidden="1" x14ac:dyDescent="0.25">
      <c r="B67" s="52" t="s">
        <v>139</v>
      </c>
      <c r="D67" s="55">
        <f>IF(D57&lt;&gt;0,VLOOKUP(D$62,'Factor Tables'!$B$83:$E$88,2,FALSE),0)</f>
        <v>0</v>
      </c>
      <c r="E67" s="55">
        <f>IF(E57&lt;&gt;0,VLOOKUP(E$62,'Factor Tables'!$B$83:$E$88,2,FALSE),0)</f>
        <v>0</v>
      </c>
      <c r="F67" s="55">
        <f>IF(F57&lt;&gt;0,VLOOKUP(F$62,'Factor Tables'!$B$83:$E$88,2,FALSE),0)</f>
        <v>0</v>
      </c>
      <c r="G67" s="55">
        <f>IF(G57&lt;&gt;0,VLOOKUP(G$62,'Factor Tables'!$B$83:$E$88,2,FALSE),0)</f>
        <v>0</v>
      </c>
      <c r="H67" s="55">
        <f>IF(H57&lt;&gt;0,VLOOKUP(H$62,'Factor Tables'!$B$83:$E$88,2,FALSE),0)</f>
        <v>0</v>
      </c>
      <c r="I67" s="55">
        <f>IF(I57&lt;&gt;0,VLOOKUP(I$62,'Factor Tables'!$B$83:$E$88,2,FALSE),0)</f>
        <v>0</v>
      </c>
      <c r="J67" s="55">
        <f>IF(J57&lt;&gt;0,VLOOKUP(J$62,'Factor Tables'!$B$83:$E$88,2,FALSE),0)</f>
        <v>0</v>
      </c>
      <c r="K67" s="55">
        <f>IF(K57&lt;&gt;0,VLOOKUP(K$62,'Factor Tables'!$B$83:$E$88,2,FALSE),0)</f>
        <v>0</v>
      </c>
      <c r="L67" s="55">
        <f>IF(L57&lt;&gt;0,VLOOKUP(L$62,'Factor Tables'!$B$83:$E$88,2,FALSE),0)</f>
        <v>0</v>
      </c>
      <c r="M67" s="55">
        <f>IF(M57&lt;&gt;0,VLOOKUP(M$62,'Factor Tables'!$B$83:$E$88,2,FALSE),0)</f>
        <v>0</v>
      </c>
    </row>
    <row r="68" spans="2:13" s="49" customFormat="1" hidden="1" x14ac:dyDescent="0.25">
      <c r="B68" s="52" t="s">
        <v>140</v>
      </c>
      <c r="D68" s="55">
        <f>IF(D58&lt;&gt;0,VLOOKUP(D$62,'Factor Tables'!$B$83:$E$88,2,FALSE),0)</f>
        <v>0</v>
      </c>
      <c r="E68" s="55">
        <f>IF(E58&lt;&gt;0,VLOOKUP(E$62,'Factor Tables'!$B$83:$E$88,2,FALSE),0)</f>
        <v>0</v>
      </c>
      <c r="F68" s="55">
        <f>IF(F58&lt;&gt;0,VLOOKUP(F$62,'Factor Tables'!$B$83:$E$88,2,FALSE),0)</f>
        <v>0</v>
      </c>
      <c r="G68" s="55">
        <f>IF(G58&lt;&gt;0,VLOOKUP(G$62,'Factor Tables'!$B$83:$E$88,2,FALSE),0)</f>
        <v>0</v>
      </c>
      <c r="H68" s="55">
        <f>IF(H58&lt;&gt;0,VLOOKUP(H$62,'Factor Tables'!$B$83:$E$88,2,FALSE),0)</f>
        <v>0</v>
      </c>
      <c r="I68" s="55">
        <f>IF(I58&lt;&gt;0,VLOOKUP(I$62,'Factor Tables'!$B$83:$E$88,2,FALSE),0)</f>
        <v>0</v>
      </c>
      <c r="J68" s="55">
        <f>IF(J58&lt;&gt;0,VLOOKUP(J$62,'Factor Tables'!$B$83:$E$88,2,FALSE),0)</f>
        <v>0</v>
      </c>
      <c r="K68" s="55">
        <f>IF(K58&lt;&gt;0,VLOOKUP(K$62,'Factor Tables'!$B$83:$E$88,2,FALSE),0)</f>
        <v>0</v>
      </c>
      <c r="L68" s="55">
        <f>IF(L58&lt;&gt;0,VLOOKUP(L$62,'Factor Tables'!$B$83:$E$88,2,FALSE),0)</f>
        <v>0</v>
      </c>
      <c r="M68" s="55">
        <f>IF(M58&lt;&gt;0,VLOOKUP(M$62,'Factor Tables'!$B$83:$E$88,2,FALSE),0)</f>
        <v>0</v>
      </c>
    </row>
    <row r="69" spans="2:13" s="49" customFormat="1" hidden="1" x14ac:dyDescent="0.25">
      <c r="B69" s="52" t="s">
        <v>91</v>
      </c>
      <c r="D69" s="55">
        <f>IF(D59=0,0,IF(D$10="A",VLOOKUP(D$62,'Factor Tables'!$B$92:$F$93,2,FALSE),IF(D$10="B",VLOOKUP(D$62,'Factor Tables'!$B$92:$F$93,4,FALSE),0)))</f>
        <v>0</v>
      </c>
      <c r="E69" s="55">
        <f>IF(E59=0,0,IF(E$10="A",VLOOKUP(E$62,'Factor Tables'!$B$92:$F$93,2,FALSE),IF(E$10="B",VLOOKUP(E$62,'Factor Tables'!$B$92:$F$93,4,FALSE),0)))</f>
        <v>0</v>
      </c>
      <c r="F69" s="55">
        <f>IF(F59=0,0,IF(F$10="A",VLOOKUP(F$62,'Factor Tables'!$B$92:$F$93,2,FALSE),IF(F$10="B",VLOOKUP(F$62,'Factor Tables'!$B$92:$F$93,4,FALSE),0)))</f>
        <v>0</v>
      </c>
      <c r="G69" s="55">
        <f>IF(G59=0,0,IF(G$10="A",VLOOKUP(G$62,'Factor Tables'!$B$92:$F$93,2,FALSE),IF(G$10="B",VLOOKUP(G$62,'Factor Tables'!$B$92:$F$93,4,FALSE),0)))</f>
        <v>0</v>
      </c>
      <c r="H69" s="55">
        <f>IF(H59=0,0,IF(H$10="A",VLOOKUP(H$62,'Factor Tables'!$B$92:$F$93,2,FALSE),IF(H$10="B",VLOOKUP(H$62,'Factor Tables'!$B$92:$F$93,4,FALSE),0)))</f>
        <v>0</v>
      </c>
      <c r="I69" s="55">
        <f>IF(I59=0,0,IF(I$10="A",VLOOKUP(I$62,'Factor Tables'!$B$92:$F$93,2,FALSE),IF(I$10="B",VLOOKUP(I$62,'Factor Tables'!$B$92:$F$93,4,FALSE),0)))</f>
        <v>0</v>
      </c>
      <c r="J69" s="55">
        <f>IF(J59=0,0,IF(J$10="A",VLOOKUP(J$62,'Factor Tables'!$B$92:$F$93,2,FALSE),IF(J$10="B",VLOOKUP(J$62,'Factor Tables'!$B$92:$F$93,4,FALSE),0)))</f>
        <v>0</v>
      </c>
      <c r="K69" s="55">
        <f>IF(K59=0,0,IF(K$10="A",VLOOKUP(K$62,'Factor Tables'!$B$92:$F$93,2,FALSE),IF(K$10="B",VLOOKUP(K$62,'Factor Tables'!$B$92:$F$93,4,FALSE),0)))</f>
        <v>0</v>
      </c>
      <c r="L69" s="55">
        <f>IF(L59=0,0,IF(L$10="A",VLOOKUP(L$62,'Factor Tables'!$B$92:$F$93,2,FALSE),IF(L$10="B",VLOOKUP(L$62,'Factor Tables'!$B$92:$F$93,4,FALSE),0)))</f>
        <v>0</v>
      </c>
      <c r="M69" s="55">
        <f>IF(M59=0,0,IF(M$10="A",VLOOKUP(M$62,'Factor Tables'!$B$92:$F$93,2,FALSE),IF(M$10="B",VLOOKUP(M$62,'Factor Tables'!$B$92:$F$93,4,FALSE),0)))</f>
        <v>0</v>
      </c>
    </row>
    <row r="70" spans="2:13" s="49" customFormat="1" hidden="1" x14ac:dyDescent="0.25">
      <c r="B70" s="52" t="s">
        <v>92</v>
      </c>
      <c r="D70" s="55">
        <f>IF(D60=0,0,IF(AND(OR(D$9="Screw",D$9="Scroll",D$9="Reciprocating"),D$10="A"),VLOOKUP(D$62,'Factor Tables'!$B$97:$G$102,3,FALSE),IF(AND(OR(D$9="Screw",D$9="Scroll",D$9="Reciprocating"),D$10="B"),VLOOKUP(D$62,'Factor Tables'!$B$97:$G$102,5,FALSE),IF(AND(D$9="Centrifugal",D$10="A"),VLOOKUP(D$62,'Factor Tables'!$B$104:$G$109,3,FALSE),IF(AND(D$9="Centrifugal",D$10="B"),VLOOKUP(D$62,'Factor Tables'!$B$104:$G$109,5,FALSE),0)))))</f>
        <v>0</v>
      </c>
      <c r="E70" s="55">
        <f>IF(E60=0,0,IF(AND(OR(E$9="Screw",E$9="Scroll",E$9="Reciprocating"),E$10="A"),VLOOKUP(E$62,'Factor Tables'!$B$97:$G$102,3,FALSE),IF(AND(OR(E$9="Screw",E$9="Scroll",E$9="Reciprocating"),E$10="B"),VLOOKUP(E$62,'Factor Tables'!$B$97:$G$102,5,FALSE),IF(AND(E$9="Centrifugal",E$10="A"),VLOOKUP(E$62,'Factor Tables'!$B$104:$G$109,3,FALSE),IF(AND(E$9="Centrifugal",E$10="B"),VLOOKUP(E$62,'Factor Tables'!$B$104:$G$109,5,FALSE),0)))))</f>
        <v>0</v>
      </c>
      <c r="F70" s="55">
        <f>IF(F60=0,0,IF(AND(OR(F$9="Screw",F$9="Scroll",F$9="Reciprocating"),F$10="A"),VLOOKUP(F$62,'Factor Tables'!$B$97:$G$102,3,FALSE),IF(AND(OR(F$9="Screw",F$9="Scroll",F$9="Reciprocating"),F$10="B"),VLOOKUP(F$62,'Factor Tables'!$B$97:$G$102,5,FALSE),IF(AND(F$9="Centrifugal",F$10="A"),VLOOKUP(F$62,'Factor Tables'!$B$104:$G$109,3,FALSE),IF(AND(F$9="Centrifugal",F$10="B"),VLOOKUP(F$62,'Factor Tables'!$B$104:$G$109,5,FALSE),0)))))</f>
        <v>0</v>
      </c>
      <c r="G70" s="55">
        <f>IF(G60=0,0,IF(AND(OR(G$9="Screw",G$9="Scroll",G$9="Reciprocating"),G$10="A"),VLOOKUP(G$62,'Factor Tables'!$B$97:$G$102,3,FALSE),IF(AND(OR(G$9="Screw",G$9="Scroll",G$9="Reciprocating"),G$10="B"),VLOOKUP(G$62,'Factor Tables'!$B$97:$G$102,5,FALSE),IF(AND(G$9="Centrifugal",G$10="A"),VLOOKUP(G$62,'Factor Tables'!$B$104:$G$109,3,FALSE),IF(AND(G$9="Centrifugal",G$10="B"),VLOOKUP(G$62,'Factor Tables'!$B$104:$G$109,5,FALSE),0)))))</f>
        <v>0</v>
      </c>
      <c r="H70" s="55">
        <f>IF(H60=0,0,IF(AND(OR(H$9="Screw",H$9="Scroll",H$9="Reciprocating"),H$10="A"),VLOOKUP(H$62,'Factor Tables'!$B$97:$G$102,3,FALSE),IF(AND(OR(H$9="Screw",H$9="Scroll",H$9="Reciprocating"),H$10="B"),VLOOKUP(H$62,'Factor Tables'!$B$97:$G$102,5,FALSE),IF(AND(H$9="Centrifugal",H$10="A"),VLOOKUP(H$62,'Factor Tables'!$B$104:$G$109,3,FALSE),IF(AND(H$9="Centrifugal",H$10="B"),VLOOKUP(H$62,'Factor Tables'!$B$104:$G$109,5,FALSE),0)))))</f>
        <v>0</v>
      </c>
      <c r="I70" s="55">
        <f>IF(I60=0,0,IF(AND(OR(I$9="Screw",I$9="Scroll",I$9="Reciprocating"),I$10="A"),VLOOKUP(I$62,'Factor Tables'!$B$97:$G$102,3,FALSE),IF(AND(OR(I$9="Screw",I$9="Scroll",I$9="Reciprocating"),I$10="B"),VLOOKUP(I$62,'Factor Tables'!$B$97:$G$102,5,FALSE),IF(AND(I$9="Centrifugal",I$10="A"),VLOOKUP(I$62,'Factor Tables'!$B$104:$G$109,3,FALSE),IF(AND(I$9="Centrifugal",I$10="B"),VLOOKUP(I$62,'Factor Tables'!$B$104:$G$109,5,FALSE),0)))))</f>
        <v>0</v>
      </c>
      <c r="J70" s="55">
        <f>IF(J60=0,0,IF(AND(OR(J$9="Screw",J$9="Scroll",J$9="Reciprocating"),J$10="A"),VLOOKUP(J$62,'Factor Tables'!$B$97:$G$102,3,FALSE),IF(AND(OR(J$9="Screw",J$9="Scroll",J$9="Reciprocating"),J$10="B"),VLOOKUP(J$62,'Factor Tables'!$B$97:$G$102,5,FALSE),IF(AND(J$9="Centrifugal",J$10="A"),VLOOKUP(J$62,'Factor Tables'!$B$104:$G$109,3,FALSE),IF(AND(J$9="Centrifugal",J$10="B"),VLOOKUP(J$62,'Factor Tables'!$B$104:$G$109,5,FALSE),0)))))</f>
        <v>0</v>
      </c>
      <c r="K70" s="55">
        <f>IF(K60=0,0,IF(AND(OR(K$9="Screw",K$9="Scroll",K$9="Reciprocating"),K$10="A"),VLOOKUP(K$62,'Factor Tables'!$B$97:$G$102,3,FALSE),IF(AND(OR(K$9="Screw",K$9="Scroll",K$9="Reciprocating"),K$10="B"),VLOOKUP(K$62,'Factor Tables'!$B$97:$G$102,5,FALSE),IF(AND(K$9="Centrifugal",K$10="A"),VLOOKUP(K$62,'Factor Tables'!$B$104:$G$109,3,FALSE),IF(AND(K$9="Centrifugal",K$10="B"),VLOOKUP(K$62,'Factor Tables'!$B$104:$G$109,5,FALSE),0)))))</f>
        <v>0</v>
      </c>
      <c r="L70" s="55">
        <f>IF(L60=0,0,IF(AND(OR(L$9="Screw",L$9="Scroll",L$9="Reciprocating"),L$10="A"),VLOOKUP(L$62,'Factor Tables'!$B$97:$G$102,3,FALSE),IF(AND(OR(L$9="Screw",L$9="Scroll",L$9="Reciprocating"),L$10="B"),VLOOKUP(L$62,'Factor Tables'!$B$97:$G$102,5,FALSE),IF(AND(L$9="Centrifugal",L$10="A"),VLOOKUP(L$62,'Factor Tables'!$B$104:$G$109,3,FALSE),IF(AND(L$9="Centrifugal",L$10="B"),VLOOKUP(L$62,'Factor Tables'!$B$104:$G$109,5,FALSE),0)))))</f>
        <v>0</v>
      </c>
      <c r="M70" s="55">
        <f>IF(M60=0,0,IF(AND(OR(M$9="Screw",M$9="Scroll",M$9="Reciprocating"),M$10="A"),VLOOKUP(M$62,'Factor Tables'!$B$97:$G$102,3,FALSE),IF(AND(OR(M$9="Screw",M$9="Scroll",M$9="Reciprocating"),M$10="B"),VLOOKUP(M$62,'Factor Tables'!$B$97:$G$102,5,FALSE),IF(AND(M$9="Centrifugal",M$10="A"),VLOOKUP(M$62,'Factor Tables'!$B$104:$G$109,3,FALSE),IF(AND(M$9="Centrifugal",M$10="B"),VLOOKUP(M$62,'Factor Tables'!$B$104:$G$109,5,FALSE),0)))))</f>
        <v>0</v>
      </c>
    </row>
    <row r="71" spans="2:13" s="49" customFormat="1" hidden="1" x14ac:dyDescent="0.25">
      <c r="D71" s="51"/>
      <c r="E71" s="51"/>
      <c r="F71" s="51"/>
      <c r="G71" s="51"/>
      <c r="H71" s="51"/>
      <c r="I71" s="51"/>
      <c r="J71" s="51"/>
      <c r="K71" s="51"/>
      <c r="L71" s="51"/>
      <c r="M71" s="51"/>
    </row>
    <row r="72" spans="2:13" s="49" customFormat="1" hidden="1" x14ac:dyDescent="0.25">
      <c r="B72" s="52" t="s">
        <v>110</v>
      </c>
      <c r="D72" s="56">
        <f t="shared" ref="D72:M72" si="27">MAX(D65:D70)</f>
        <v>0</v>
      </c>
      <c r="E72" s="56">
        <f t="shared" si="27"/>
        <v>0</v>
      </c>
      <c r="F72" s="56">
        <f t="shared" si="27"/>
        <v>0</v>
      </c>
      <c r="G72" s="56">
        <f t="shared" si="27"/>
        <v>0</v>
      </c>
      <c r="H72" s="56">
        <f t="shared" si="27"/>
        <v>0</v>
      </c>
      <c r="I72" s="56">
        <f t="shared" si="27"/>
        <v>0</v>
      </c>
      <c r="J72" s="56">
        <f t="shared" si="27"/>
        <v>0</v>
      </c>
      <c r="K72" s="56">
        <f t="shared" si="27"/>
        <v>0</v>
      </c>
      <c r="L72" s="56">
        <f t="shared" si="27"/>
        <v>0</v>
      </c>
      <c r="M72" s="56">
        <f t="shared" si="27"/>
        <v>0</v>
      </c>
    </row>
    <row r="73" spans="2:13" s="49" customFormat="1" hidden="1" x14ac:dyDescent="0.25">
      <c r="D73" s="51"/>
      <c r="E73" s="51"/>
      <c r="F73" s="51"/>
      <c r="G73" s="51"/>
      <c r="H73" s="51"/>
      <c r="I73" s="51"/>
      <c r="J73" s="51"/>
      <c r="K73" s="51"/>
      <c r="L73" s="51"/>
      <c r="M73" s="51"/>
    </row>
    <row r="74" spans="2:13" s="49" customFormat="1" hidden="1" x14ac:dyDescent="0.25">
      <c r="D74" s="51" t="s">
        <v>107</v>
      </c>
      <c r="E74" s="51" t="s">
        <v>107</v>
      </c>
      <c r="F74" s="51" t="s">
        <v>107</v>
      </c>
      <c r="G74" s="51" t="s">
        <v>107</v>
      </c>
      <c r="H74" s="51" t="s">
        <v>107</v>
      </c>
      <c r="I74" s="51" t="s">
        <v>107</v>
      </c>
      <c r="J74" s="51" t="s">
        <v>107</v>
      </c>
      <c r="K74" s="51" t="s">
        <v>107</v>
      </c>
      <c r="L74" s="51" t="s">
        <v>107</v>
      </c>
      <c r="M74" s="51" t="s">
        <v>107</v>
      </c>
    </row>
    <row r="75" spans="2:13" s="49" customFormat="1" hidden="1" x14ac:dyDescent="0.25">
      <c r="B75" s="52" t="s">
        <v>137</v>
      </c>
      <c r="D75" s="55">
        <f>IF(D55&lt;&gt;0,VLOOKUP(D$62,'Factor Tables'!$B$74:$E$79,3,FALSE),0)</f>
        <v>0</v>
      </c>
      <c r="E75" s="55">
        <f>IF(E55&lt;&gt;0,VLOOKUP(E$62,'Factor Tables'!$B$74:$E$79,3,FALSE),0)</f>
        <v>0</v>
      </c>
      <c r="F75" s="55">
        <f>IF(F55&lt;&gt;0,VLOOKUP(F$62,'Factor Tables'!$B$74:$E$79,3,FALSE),0)</f>
        <v>0</v>
      </c>
      <c r="G75" s="55">
        <f>IF(G55&lt;&gt;0,VLOOKUP(G$62,'Factor Tables'!$B$74:$E$79,3,FALSE),0)</f>
        <v>0</v>
      </c>
      <c r="H75" s="55">
        <f>IF(H55&lt;&gt;0,VLOOKUP(H$62,'Factor Tables'!$B$74:$E$79,3,FALSE),0)</f>
        <v>0</v>
      </c>
      <c r="I75" s="55">
        <f>IF(I55&lt;&gt;0,VLOOKUP(I$62,'Factor Tables'!$B$74:$E$79,3,FALSE),0)</f>
        <v>0</v>
      </c>
      <c r="J75" s="55">
        <f>IF(J55&lt;&gt;0,VLOOKUP(J$62,'Factor Tables'!$B$74:$E$79,3,FALSE),0)</f>
        <v>0</v>
      </c>
      <c r="K75" s="55">
        <f>IF(K55&lt;&gt;0,VLOOKUP(K$62,'Factor Tables'!$B$74:$E$79,3,FALSE),0)</f>
        <v>0</v>
      </c>
      <c r="L75" s="55">
        <f>IF(L55&lt;&gt;0,VLOOKUP(L$62,'Factor Tables'!$B$74:$E$79,3,FALSE),0)</f>
        <v>0</v>
      </c>
      <c r="M75" s="55">
        <f>IF(M55&lt;&gt;0,VLOOKUP(M$62,'Factor Tables'!$B$74:$E$79,3,FALSE),0)</f>
        <v>0</v>
      </c>
    </row>
    <row r="76" spans="2:13" s="49" customFormat="1" hidden="1" x14ac:dyDescent="0.25">
      <c r="B76" s="52" t="s">
        <v>138</v>
      </c>
      <c r="D76" s="55">
        <f>IF(D56&lt;&gt;0,VLOOKUP(D$62,'Factor Tables'!$B$74:$E$79,3,FALSE),0)</f>
        <v>0</v>
      </c>
      <c r="E76" s="55">
        <f>IF(E56&lt;&gt;0,VLOOKUP(E$62,'Factor Tables'!$B$74:$E$79,3,FALSE),0)</f>
        <v>0</v>
      </c>
      <c r="F76" s="55">
        <f>IF(F56&lt;&gt;0,VLOOKUP(F$62,'Factor Tables'!$B$74:$E$79,3,FALSE),0)</f>
        <v>0</v>
      </c>
      <c r="G76" s="55">
        <f>IF(G56&lt;&gt;0,VLOOKUP(G$62,'Factor Tables'!$B$74:$E$79,3,FALSE),0)</f>
        <v>0</v>
      </c>
      <c r="H76" s="55">
        <f>IF(H56&lt;&gt;0,VLOOKUP(H$62,'Factor Tables'!$B$74:$E$79,3,FALSE),0)</f>
        <v>0</v>
      </c>
      <c r="I76" s="55">
        <f>IF(I56&lt;&gt;0,VLOOKUP(I$62,'Factor Tables'!$B$74:$E$79,3,FALSE),0)</f>
        <v>0</v>
      </c>
      <c r="J76" s="55">
        <f>IF(J56&lt;&gt;0,VLOOKUP(J$62,'Factor Tables'!$B$74:$E$79,3,FALSE),0)</f>
        <v>0</v>
      </c>
      <c r="K76" s="55">
        <f>IF(K56&lt;&gt;0,VLOOKUP(K$62,'Factor Tables'!$B$74:$E$79,3,FALSE),0)</f>
        <v>0</v>
      </c>
      <c r="L76" s="55">
        <f>IF(L56&lt;&gt;0,VLOOKUP(L$62,'Factor Tables'!$B$74:$E$79,3,FALSE),0)</f>
        <v>0</v>
      </c>
      <c r="M76" s="55">
        <f>IF(M56&lt;&gt;0,VLOOKUP(M$62,'Factor Tables'!$B$74:$E$79,3,FALSE),0)</f>
        <v>0</v>
      </c>
    </row>
    <row r="77" spans="2:13" s="49" customFormat="1" hidden="1" x14ac:dyDescent="0.25">
      <c r="B77" s="52" t="s">
        <v>139</v>
      </c>
      <c r="D77" s="55">
        <f>IF(D57&lt;&gt;0,VLOOKUP(D$62,'Factor Tables'!$B$83:$E$88,3,FALSE),0)</f>
        <v>0</v>
      </c>
      <c r="E77" s="55">
        <f>IF(E57&lt;&gt;0,VLOOKUP(E$62,'Factor Tables'!$B$83:$E$88,3,FALSE),0)</f>
        <v>0</v>
      </c>
      <c r="F77" s="55">
        <f>IF(F57&lt;&gt;0,VLOOKUP(F$62,'Factor Tables'!$B$83:$E$88,3,FALSE),0)</f>
        <v>0</v>
      </c>
      <c r="G77" s="55">
        <f>IF(G57&lt;&gt;0,VLOOKUP(G$62,'Factor Tables'!$B$83:$E$88,3,FALSE),0)</f>
        <v>0</v>
      </c>
      <c r="H77" s="55">
        <f>IF(H57&lt;&gt;0,VLOOKUP(H$62,'Factor Tables'!$B$83:$E$88,3,FALSE),0)</f>
        <v>0</v>
      </c>
      <c r="I77" s="55">
        <f>IF(I57&lt;&gt;0,VLOOKUP(I$62,'Factor Tables'!$B$83:$E$88,3,FALSE),0)</f>
        <v>0</v>
      </c>
      <c r="J77" s="55">
        <f>IF(J57&lt;&gt;0,VLOOKUP(J$62,'Factor Tables'!$B$83:$E$88,3,FALSE),0)</f>
        <v>0</v>
      </c>
      <c r="K77" s="55">
        <f>IF(K57&lt;&gt;0,VLOOKUP(K$62,'Factor Tables'!$B$83:$E$88,3,FALSE),0)</f>
        <v>0</v>
      </c>
      <c r="L77" s="55">
        <f>IF(L57&lt;&gt;0,VLOOKUP(L$62,'Factor Tables'!$B$83:$E$88,3,FALSE),0)</f>
        <v>0</v>
      </c>
      <c r="M77" s="55">
        <f>IF(M57&lt;&gt;0,VLOOKUP(M$62,'Factor Tables'!$B$83:$E$88,3,FALSE),0)</f>
        <v>0</v>
      </c>
    </row>
    <row r="78" spans="2:13" s="49" customFormat="1" hidden="1" x14ac:dyDescent="0.25">
      <c r="B78" s="52" t="s">
        <v>140</v>
      </c>
      <c r="D78" s="55">
        <f>IF(D58&lt;&gt;0,VLOOKUP(D$62,'Factor Tables'!$B$83:$E$88,3,FALSE),0)</f>
        <v>0</v>
      </c>
      <c r="E78" s="55">
        <f>IF(E58&lt;&gt;0,VLOOKUP(E$62,'Factor Tables'!$B$83:$E$88,3,FALSE),0)</f>
        <v>0</v>
      </c>
      <c r="F78" s="55">
        <f>IF(F58&lt;&gt;0,VLOOKUP(F$62,'Factor Tables'!$B$83:$E$88,3,FALSE),0)</f>
        <v>0</v>
      </c>
      <c r="G78" s="55">
        <f>IF(G58&lt;&gt;0,VLOOKUP(G$62,'Factor Tables'!$B$83:$E$88,3,FALSE),0)</f>
        <v>0</v>
      </c>
      <c r="H78" s="55">
        <f>IF(H58&lt;&gt;0,VLOOKUP(H$62,'Factor Tables'!$B$83:$E$88,3,FALSE),0)</f>
        <v>0</v>
      </c>
      <c r="I78" s="55">
        <f>IF(I58&lt;&gt;0,VLOOKUP(I$62,'Factor Tables'!$B$83:$E$88,3,FALSE),0)</f>
        <v>0</v>
      </c>
      <c r="J78" s="55">
        <f>IF(J58&lt;&gt;0,VLOOKUP(J$62,'Factor Tables'!$B$83:$E$88,3,FALSE),0)</f>
        <v>0</v>
      </c>
      <c r="K78" s="55">
        <f>IF(K58&lt;&gt;0,VLOOKUP(K$62,'Factor Tables'!$B$83:$E$88,3,FALSE),0)</f>
        <v>0</v>
      </c>
      <c r="L78" s="55">
        <f>IF(L58&lt;&gt;0,VLOOKUP(L$62,'Factor Tables'!$B$83:$E$88,3,FALSE),0)</f>
        <v>0</v>
      </c>
      <c r="M78" s="55">
        <f>IF(M58&lt;&gt;0,VLOOKUP(M$62,'Factor Tables'!$B$83:$E$88,3,FALSE),0)</f>
        <v>0</v>
      </c>
    </row>
    <row r="79" spans="2:13" s="49" customFormat="1" hidden="1" x14ac:dyDescent="0.25">
      <c r="B79" s="52" t="s">
        <v>91</v>
      </c>
      <c r="D79" s="55">
        <f>IF(D59=0,0,IF(D$10="A",VLOOKUP(D$62,'Factor Tables'!$B$92:$F$93,3,FALSE),IF(D$10="B",VLOOKUP(D$62,'Factor Tables'!$B$92:$F$93,5,FALSE),0)))</f>
        <v>0</v>
      </c>
      <c r="E79" s="55">
        <f>IF(E59=0,0,IF(E$10="A",VLOOKUP(E$62,'Factor Tables'!$B$92:$F$93,3,FALSE),IF(E$10="B",VLOOKUP(E$62,'Factor Tables'!$B$92:$F$93,5,FALSE),0)))</f>
        <v>0</v>
      </c>
      <c r="F79" s="55">
        <f>IF(F59=0,0,IF(F$10="A",VLOOKUP(F$62,'Factor Tables'!$B$92:$F$93,3,FALSE),IF(F$10="B",VLOOKUP(F$62,'Factor Tables'!$B$92:$F$93,5,FALSE),0)))</f>
        <v>0</v>
      </c>
      <c r="G79" s="55">
        <f>IF(G59=0,0,IF(G$10="A",VLOOKUP(G$62,'Factor Tables'!$B$92:$F$93,3,FALSE),IF(G$10="B",VLOOKUP(G$62,'Factor Tables'!$B$92:$F$93,5,FALSE),0)))</f>
        <v>0</v>
      </c>
      <c r="H79" s="55">
        <f>IF(H59=0,0,IF(H$10="A",VLOOKUP(H$62,'Factor Tables'!$B$92:$F$93,3,FALSE),IF(H$10="B",VLOOKUP(H$62,'Factor Tables'!$B$92:$F$93,5,FALSE),0)))</f>
        <v>0</v>
      </c>
      <c r="I79" s="55">
        <f>IF(I59=0,0,IF(I$10="A",VLOOKUP(I$62,'Factor Tables'!$B$92:$F$93,3,FALSE),IF(I$10="B",VLOOKUP(I$62,'Factor Tables'!$B$92:$F$93,5,FALSE),0)))</f>
        <v>0</v>
      </c>
      <c r="J79" s="55">
        <f>IF(J59=0,0,IF(J$10="A",VLOOKUP(J$62,'Factor Tables'!$B$92:$F$93,3,FALSE),IF(J$10="B",VLOOKUP(J$62,'Factor Tables'!$B$92:$F$93,5,FALSE),0)))</f>
        <v>0</v>
      </c>
      <c r="K79" s="55">
        <f>IF(K59=0,0,IF(K$10="A",VLOOKUP(K$62,'Factor Tables'!$B$92:$F$93,3,FALSE),IF(K$10="B",VLOOKUP(K$62,'Factor Tables'!$B$92:$F$93,5,FALSE),0)))</f>
        <v>0</v>
      </c>
      <c r="L79" s="55">
        <f>IF(L59=0,0,IF(L$10="A",VLOOKUP(L$62,'Factor Tables'!$B$92:$F$93,3,FALSE),IF(L$10="B",VLOOKUP(L$62,'Factor Tables'!$B$92:$F$93,5,FALSE),0)))</f>
        <v>0</v>
      </c>
      <c r="M79" s="55">
        <f>IF(M59=0,0,IF(M$10="A",VLOOKUP(M$62,'Factor Tables'!$B$92:$F$93,3,FALSE),IF(M$10="B",VLOOKUP(M$62,'Factor Tables'!$B$92:$F$93,5,FALSE),0)))</f>
        <v>0</v>
      </c>
    </row>
    <row r="80" spans="2:13" s="49" customFormat="1" hidden="1" x14ac:dyDescent="0.25">
      <c r="B80" s="52" t="s">
        <v>92</v>
      </c>
      <c r="D80" s="55">
        <f>IF(D60=0,0,IF(AND(OR(D$9="Screw",D$9="Scroll",D$9="Reciprocating"),D$10="A"),VLOOKUP(D$62,'Factor Tables'!$B$97:$G$102,4,FALSE),IF(AND(OR(D$9="Screw",D$9="Scroll",D$9="Reciprocating"),D$10="B"),VLOOKUP(D$62,'Factor Tables'!$B$97:$G$102,6,FALSE),IF(AND(D$9="Centrifugal",D$10="A"),VLOOKUP(D$62,'Factor Tables'!$B$104:$G$109,4,FALSE),IF(AND(D$9="Centrifugal",D$10="B"),VLOOKUP(D$62,'Factor Tables'!$B$104:$G$109,6,FALSE),0)))))</f>
        <v>0</v>
      </c>
      <c r="E80" s="55">
        <f>IF(E60=0,0,IF(AND(OR(E$9="Screw",E$9="Scroll",E$9="Reciprocating"),E$10="A"),VLOOKUP(E$62,'Factor Tables'!$B$97:$G$102,4,FALSE),IF(AND(OR(E$9="Screw",E$9="Scroll",E$9="Reciprocating"),E$10="B"),VLOOKUP(E$62,'Factor Tables'!$B$97:$G$102,6,FALSE),IF(AND(E$9="Centrifugal",E$10="A"),VLOOKUP(E$62,'Factor Tables'!$B$104:$G$109,4,FALSE),IF(AND(E$9="Centrifugal",E$10="B"),VLOOKUP(E$62,'Factor Tables'!$B$104:$G$109,6,FALSE),0)))))</f>
        <v>0</v>
      </c>
      <c r="F80" s="55">
        <f>IF(F60=0,0,IF(AND(OR(F$9="Screw",F$9="Scroll",F$9="Reciprocating"),F$10="A"),VLOOKUP(F$62,'Factor Tables'!$B$97:$G$102,4,FALSE),IF(AND(OR(F$9="Screw",F$9="Scroll",F$9="Reciprocating"),F$10="B"),VLOOKUP(F$62,'Factor Tables'!$B$97:$G$102,6,FALSE),IF(AND(F$9="Centrifugal",F$10="A"),VLOOKUP(F$62,'Factor Tables'!$B$104:$G$109,4,FALSE),IF(AND(F$9="Centrifugal",F$10="B"),VLOOKUP(F$62,'Factor Tables'!$B$104:$G$109,6,FALSE),0)))))</f>
        <v>0</v>
      </c>
      <c r="G80" s="55">
        <f>IF(G60=0,0,IF(AND(OR(G$9="Screw",G$9="Scroll",G$9="Reciprocating"),G$10="A"),VLOOKUP(G$62,'Factor Tables'!$B$97:$G$102,4,FALSE),IF(AND(OR(G$9="Screw",G$9="Scroll",G$9="Reciprocating"),G$10="B"),VLOOKUP(G$62,'Factor Tables'!$B$97:$G$102,6,FALSE),IF(AND(G$9="Centrifugal",G$10="A"),VLOOKUP(G$62,'Factor Tables'!$B$104:$G$109,4,FALSE),IF(AND(G$9="Centrifugal",G$10="B"),VLOOKUP(G$62,'Factor Tables'!$B$104:$G$109,6,FALSE),0)))))</f>
        <v>0</v>
      </c>
      <c r="H80" s="55">
        <f>IF(H60=0,0,IF(AND(OR(H$9="Screw",H$9="Scroll",H$9="Reciprocating"),H$10="A"),VLOOKUP(H$62,'Factor Tables'!$B$97:$G$102,4,FALSE),IF(AND(OR(H$9="Screw",H$9="Scroll",H$9="Reciprocating"),H$10="B"),VLOOKUP(H$62,'Factor Tables'!$B$97:$G$102,6,FALSE),IF(AND(H$9="Centrifugal",H$10="A"),VLOOKUP(H$62,'Factor Tables'!$B$104:$G$109,4,FALSE),IF(AND(H$9="Centrifugal",H$10="B"),VLOOKUP(H$62,'Factor Tables'!$B$104:$G$109,6,FALSE),0)))))</f>
        <v>0</v>
      </c>
      <c r="I80" s="55">
        <f>IF(I60=0,0,IF(AND(OR(I$9="Screw",I$9="Scroll",I$9="Reciprocating"),I$10="A"),VLOOKUP(I$62,'Factor Tables'!$B$97:$G$102,4,FALSE),IF(AND(OR(I$9="Screw",I$9="Scroll",I$9="Reciprocating"),I$10="B"),VLOOKUP(I$62,'Factor Tables'!$B$97:$G$102,6,FALSE),IF(AND(I$9="Centrifugal",I$10="A"),VLOOKUP(I$62,'Factor Tables'!$B$104:$G$109,4,FALSE),IF(AND(I$9="Centrifugal",I$10="B"),VLOOKUP(I$62,'Factor Tables'!$B$104:$G$109,6,FALSE),0)))))</f>
        <v>0</v>
      </c>
      <c r="J80" s="55">
        <f>IF(J60=0,0,IF(AND(OR(J$9="Screw",J$9="Scroll",J$9="Reciprocating"),J$10="A"),VLOOKUP(J$62,'Factor Tables'!$B$97:$G$102,4,FALSE),IF(AND(OR(J$9="Screw",J$9="Scroll",J$9="Reciprocating"),J$10="B"),VLOOKUP(J$62,'Factor Tables'!$B$97:$G$102,6,FALSE),IF(AND(J$9="Centrifugal",J$10="A"),VLOOKUP(J$62,'Factor Tables'!$B$104:$G$109,4,FALSE),IF(AND(J$9="Centrifugal",J$10="B"),VLOOKUP(J$62,'Factor Tables'!$B$104:$G$109,6,FALSE),0)))))</f>
        <v>0</v>
      </c>
      <c r="K80" s="55">
        <f>IF(K60=0,0,IF(AND(OR(K$9="Screw",K$9="Scroll",K$9="Reciprocating"),K$10="A"),VLOOKUP(K$62,'Factor Tables'!$B$97:$G$102,4,FALSE),IF(AND(OR(K$9="Screw",K$9="Scroll",K$9="Reciprocating"),K$10="B"),VLOOKUP(K$62,'Factor Tables'!$B$97:$G$102,6,FALSE),IF(AND(K$9="Centrifugal",K$10="A"),VLOOKUP(K$62,'Factor Tables'!$B$104:$G$109,4,FALSE),IF(AND(K$9="Centrifugal",K$10="B"),VLOOKUP(K$62,'Factor Tables'!$B$104:$G$109,6,FALSE),0)))))</f>
        <v>0</v>
      </c>
      <c r="L80" s="55">
        <f>IF(L60=0,0,IF(AND(OR(L$9="Screw",L$9="Scroll",L$9="Reciprocating"),L$10="A"),VLOOKUP(L$62,'Factor Tables'!$B$97:$G$102,4,FALSE),IF(AND(OR(L$9="Screw",L$9="Scroll",L$9="Reciprocating"),L$10="B"),VLOOKUP(L$62,'Factor Tables'!$B$97:$G$102,6,FALSE),IF(AND(L$9="Centrifugal",L$10="A"),VLOOKUP(L$62,'Factor Tables'!$B$104:$G$109,4,FALSE),IF(AND(L$9="Centrifugal",L$10="B"),VLOOKUP(L$62,'Factor Tables'!$B$104:$G$109,6,FALSE),0)))))</f>
        <v>0</v>
      </c>
      <c r="M80" s="55">
        <f>IF(M60=0,0,IF(AND(OR(M$9="Screw",M$9="Scroll",M$9="Reciprocating"),M$10="A"),VLOOKUP(M$62,'Factor Tables'!$B$97:$G$102,4,FALSE),IF(AND(OR(M$9="Screw",M$9="Scroll",M$9="Reciprocating"),M$10="B"),VLOOKUP(M$62,'Factor Tables'!$B$97:$G$102,6,FALSE),IF(AND(M$9="Centrifugal",M$10="A"),VLOOKUP(M$62,'Factor Tables'!$B$104:$G$109,4,FALSE),IF(AND(M$9="Centrifugal",M$10="B"),VLOOKUP(M$62,'Factor Tables'!$B$104:$G$109,6,FALSE),0)))))</f>
        <v>0</v>
      </c>
    </row>
    <row r="81" spans="2:13" s="49" customFormat="1" hidden="1" x14ac:dyDescent="0.25">
      <c r="D81" s="51"/>
      <c r="E81" s="51"/>
      <c r="F81" s="51"/>
      <c r="G81" s="51"/>
      <c r="H81" s="51"/>
      <c r="I81" s="51"/>
      <c r="J81" s="51"/>
      <c r="K81" s="51"/>
      <c r="L81" s="51"/>
      <c r="M81" s="51"/>
    </row>
    <row r="82" spans="2:13" s="49" customFormat="1" hidden="1" x14ac:dyDescent="0.25">
      <c r="B82" s="52" t="s">
        <v>110</v>
      </c>
      <c r="D82" s="56">
        <f t="shared" ref="D82:M82" si="28">MAX(D75:D80)</f>
        <v>0</v>
      </c>
      <c r="E82" s="56">
        <f t="shared" si="28"/>
        <v>0</v>
      </c>
      <c r="F82" s="56">
        <f t="shared" si="28"/>
        <v>0</v>
      </c>
      <c r="G82" s="56">
        <f t="shared" si="28"/>
        <v>0</v>
      </c>
      <c r="H82" s="56">
        <f t="shared" si="28"/>
        <v>0</v>
      </c>
      <c r="I82" s="56">
        <f t="shared" si="28"/>
        <v>0</v>
      </c>
      <c r="J82" s="56">
        <f t="shared" si="28"/>
        <v>0</v>
      </c>
      <c r="K82" s="56">
        <f t="shared" si="28"/>
        <v>0</v>
      </c>
      <c r="L82" s="56">
        <f t="shared" si="28"/>
        <v>0</v>
      </c>
      <c r="M82" s="56">
        <f t="shared" si="28"/>
        <v>0</v>
      </c>
    </row>
    <row r="83" spans="2:13" s="49" customFormat="1" hidden="1" x14ac:dyDescent="0.25">
      <c r="D83" s="51"/>
      <c r="E83" s="51"/>
      <c r="F83" s="51"/>
      <c r="G83" s="51"/>
      <c r="H83" s="51"/>
      <c r="I83" s="51"/>
      <c r="J83" s="51"/>
      <c r="K83" s="51"/>
      <c r="L83" s="51"/>
      <c r="M83" s="51"/>
    </row>
    <row r="84" spans="2:13" s="49" customFormat="1" hidden="1" x14ac:dyDescent="0.25">
      <c r="D84" s="51" t="s">
        <v>109</v>
      </c>
      <c r="E84" s="51" t="s">
        <v>109</v>
      </c>
      <c r="F84" s="51" t="s">
        <v>109</v>
      </c>
      <c r="G84" s="51" t="s">
        <v>109</v>
      </c>
      <c r="H84" s="51" t="s">
        <v>109</v>
      </c>
      <c r="I84" s="51" t="s">
        <v>109</v>
      </c>
      <c r="J84" s="51" t="s">
        <v>109</v>
      </c>
      <c r="K84" s="51" t="s">
        <v>109</v>
      </c>
      <c r="L84" s="51" t="s">
        <v>109</v>
      </c>
      <c r="M84" s="51" t="s">
        <v>109</v>
      </c>
    </row>
    <row r="85" spans="2:13" s="49" customFormat="1" hidden="1" x14ac:dyDescent="0.25">
      <c r="B85" s="52" t="s">
        <v>137</v>
      </c>
      <c r="D85" s="55">
        <v>0</v>
      </c>
      <c r="E85" s="55">
        <v>0</v>
      </c>
      <c r="F85" s="55">
        <v>0</v>
      </c>
      <c r="G85" s="55">
        <v>0</v>
      </c>
      <c r="H85" s="55">
        <v>0</v>
      </c>
      <c r="I85" s="55">
        <v>0</v>
      </c>
      <c r="J85" s="55">
        <v>0</v>
      </c>
      <c r="K85" s="55">
        <v>0</v>
      </c>
      <c r="L85" s="55">
        <v>0</v>
      </c>
      <c r="M85" s="55">
        <v>0</v>
      </c>
    </row>
    <row r="86" spans="2:13" s="49" customFormat="1" hidden="1" x14ac:dyDescent="0.25">
      <c r="B86" s="52" t="s">
        <v>138</v>
      </c>
      <c r="D86" s="55">
        <v>0</v>
      </c>
      <c r="E86" s="55">
        <v>0</v>
      </c>
      <c r="F86" s="55">
        <v>0</v>
      </c>
      <c r="G86" s="55">
        <v>0</v>
      </c>
      <c r="H86" s="55">
        <v>0</v>
      </c>
      <c r="I86" s="55">
        <v>0</v>
      </c>
      <c r="J86" s="55">
        <v>0</v>
      </c>
      <c r="K86" s="55">
        <v>0</v>
      </c>
      <c r="L86" s="55">
        <v>0</v>
      </c>
      <c r="M86" s="55">
        <v>0</v>
      </c>
    </row>
    <row r="87" spans="2:13" s="49" customFormat="1" hidden="1" x14ac:dyDescent="0.25">
      <c r="B87" s="52" t="s">
        <v>139</v>
      </c>
      <c r="D87" s="55">
        <f>IF(D57&lt;&gt;0,VLOOKUP(D$62,'Factor Tables'!$B$83:$E$88,4,FALSE),0)</f>
        <v>0</v>
      </c>
      <c r="E87" s="55">
        <f>IF(E57&lt;&gt;0,VLOOKUP(E$62,'Factor Tables'!$B$83:$E$88,4,FALSE),0)</f>
        <v>0</v>
      </c>
      <c r="F87" s="55">
        <f>IF(F57&lt;&gt;0,VLOOKUP(F$62,'Factor Tables'!$B$83:$E$88,4,FALSE),0)</f>
        <v>0</v>
      </c>
      <c r="G87" s="55">
        <f>IF(G57&lt;&gt;0,VLOOKUP(G$62,'Factor Tables'!$B$83:$E$88,4,FALSE),0)</f>
        <v>0</v>
      </c>
      <c r="H87" s="55">
        <f>IF(H57&lt;&gt;0,VLOOKUP(H$62,'Factor Tables'!$B$83:$E$88,4,FALSE),0)</f>
        <v>0</v>
      </c>
      <c r="I87" s="55">
        <f>IF(I57&lt;&gt;0,VLOOKUP(I$62,'Factor Tables'!$B$83:$E$88,4,FALSE),0)</f>
        <v>0</v>
      </c>
      <c r="J87" s="55">
        <f>IF(J57&lt;&gt;0,VLOOKUP(J$62,'Factor Tables'!$B$83:$E$88,4,FALSE),0)</f>
        <v>0</v>
      </c>
      <c r="K87" s="55">
        <f>IF(K57&lt;&gt;0,VLOOKUP(K$62,'Factor Tables'!$B$83:$E$88,4,FALSE),0)</f>
        <v>0</v>
      </c>
      <c r="L87" s="55">
        <f>IF(L57&lt;&gt;0,VLOOKUP(L$62,'Factor Tables'!$B$83:$E$88,4,FALSE),0)</f>
        <v>0</v>
      </c>
      <c r="M87" s="55">
        <f>IF(M57&lt;&gt;0,VLOOKUP(M$62,'Factor Tables'!$B$83:$E$88,4,FALSE),0)</f>
        <v>0</v>
      </c>
    </row>
    <row r="88" spans="2:13" s="49" customFormat="1" hidden="1" x14ac:dyDescent="0.25">
      <c r="B88" s="52" t="s">
        <v>140</v>
      </c>
      <c r="D88" s="55">
        <f>IF(D58&lt;&gt;0,VLOOKUP(D$62,'Factor Tables'!$B$83:$E$88,4,FALSE),0)</f>
        <v>0</v>
      </c>
      <c r="E88" s="55">
        <f>IF(E58&lt;&gt;0,VLOOKUP(E$62,'Factor Tables'!$B$83:$E$88,4,FALSE),0)</f>
        <v>0</v>
      </c>
      <c r="F88" s="55">
        <f>IF(F58&lt;&gt;0,VLOOKUP(F$62,'Factor Tables'!$B$83:$E$88,4,FALSE),0)</f>
        <v>0</v>
      </c>
      <c r="G88" s="55">
        <f>IF(G58&lt;&gt;0,VLOOKUP(G$62,'Factor Tables'!$B$83:$E$88,4,FALSE),0)</f>
        <v>0</v>
      </c>
      <c r="H88" s="55">
        <f>IF(H58&lt;&gt;0,VLOOKUP(H$62,'Factor Tables'!$B$83:$E$88,4,FALSE),0)</f>
        <v>0</v>
      </c>
      <c r="I88" s="55">
        <f>IF(I58&lt;&gt;0,VLOOKUP(I$62,'Factor Tables'!$B$83:$E$88,4,FALSE),0)</f>
        <v>0</v>
      </c>
      <c r="J88" s="55">
        <f>IF(J58&lt;&gt;0,VLOOKUP(J$62,'Factor Tables'!$B$83:$E$88,4,FALSE),0)</f>
        <v>0</v>
      </c>
      <c r="K88" s="55">
        <f>IF(K58&lt;&gt;0,VLOOKUP(K$62,'Factor Tables'!$B$83:$E$88,4,FALSE),0)</f>
        <v>0</v>
      </c>
      <c r="L88" s="55">
        <f>IF(L58&lt;&gt;0,VLOOKUP(L$62,'Factor Tables'!$B$83:$E$88,4,FALSE),0)</f>
        <v>0</v>
      </c>
      <c r="M88" s="55">
        <f>IF(M58&lt;&gt;0,VLOOKUP(M$62,'Factor Tables'!$B$83:$E$88,4,FALSE),0)</f>
        <v>0</v>
      </c>
    </row>
    <row r="89" spans="2:13" s="49" customFormat="1" hidden="1" x14ac:dyDescent="0.25">
      <c r="B89" s="52" t="s">
        <v>91</v>
      </c>
      <c r="D89" s="55">
        <v>0</v>
      </c>
      <c r="E89" s="55">
        <v>0</v>
      </c>
      <c r="F89" s="55">
        <v>0</v>
      </c>
      <c r="G89" s="55">
        <v>0</v>
      </c>
      <c r="H89" s="55">
        <v>0</v>
      </c>
      <c r="I89" s="55">
        <v>0</v>
      </c>
      <c r="J89" s="55">
        <v>0</v>
      </c>
      <c r="K89" s="55">
        <v>0</v>
      </c>
      <c r="L89" s="55">
        <v>0</v>
      </c>
      <c r="M89" s="55">
        <v>0</v>
      </c>
    </row>
    <row r="90" spans="2:13" s="49" customFormat="1" hidden="1" x14ac:dyDescent="0.25">
      <c r="B90" s="52" t="s">
        <v>92</v>
      </c>
      <c r="D90" s="55">
        <v>0</v>
      </c>
      <c r="E90" s="55">
        <v>0</v>
      </c>
      <c r="F90" s="55">
        <v>0</v>
      </c>
      <c r="G90" s="55">
        <v>0</v>
      </c>
      <c r="H90" s="55">
        <v>0</v>
      </c>
      <c r="I90" s="55">
        <v>0</v>
      </c>
      <c r="J90" s="55">
        <v>0</v>
      </c>
      <c r="K90" s="55">
        <v>0</v>
      </c>
      <c r="L90" s="55">
        <v>0</v>
      </c>
      <c r="M90" s="55">
        <v>0</v>
      </c>
    </row>
    <row r="91" spans="2:13" s="49" customFormat="1" hidden="1" x14ac:dyDescent="0.25">
      <c r="D91" s="51"/>
      <c r="E91" s="51"/>
      <c r="F91" s="51"/>
      <c r="G91" s="51"/>
      <c r="H91" s="51"/>
      <c r="I91" s="51"/>
      <c r="J91" s="51"/>
      <c r="K91" s="51"/>
      <c r="L91" s="51"/>
      <c r="M91" s="51"/>
    </row>
    <row r="92" spans="2:13" s="49" customFormat="1" hidden="1" x14ac:dyDescent="0.25">
      <c r="B92" s="52" t="s">
        <v>110</v>
      </c>
      <c r="D92" s="56">
        <f t="shared" ref="D92:M92" si="29">MAX(D85:D90)</f>
        <v>0</v>
      </c>
      <c r="E92" s="56">
        <f t="shared" si="29"/>
        <v>0</v>
      </c>
      <c r="F92" s="56">
        <f t="shared" si="29"/>
        <v>0</v>
      </c>
      <c r="G92" s="56">
        <f t="shared" si="29"/>
        <v>0</v>
      </c>
      <c r="H92" s="56">
        <f t="shared" si="29"/>
        <v>0</v>
      </c>
      <c r="I92" s="56">
        <f t="shared" si="29"/>
        <v>0</v>
      </c>
      <c r="J92" s="56">
        <f t="shared" si="29"/>
        <v>0</v>
      </c>
      <c r="K92" s="56">
        <f t="shared" si="29"/>
        <v>0</v>
      </c>
      <c r="L92" s="56">
        <f t="shared" si="29"/>
        <v>0</v>
      </c>
      <c r="M92" s="56">
        <f t="shared" si="29"/>
        <v>0</v>
      </c>
    </row>
    <row r="93" spans="2:13" hidden="1" x14ac:dyDescent="0.25"/>
    <row r="94" spans="2:13" hidden="1" x14ac:dyDescent="0.25"/>
    <row r="95" spans="2:13" hidden="1" x14ac:dyDescent="0.25">
      <c r="B95" s="108" t="s">
        <v>164</v>
      </c>
      <c r="D95" s="40" t="str">
        <f t="shared" ref="D95:M95" si="30">_xlfn.CONCAT(D2,"/",D6)</f>
        <v>/</v>
      </c>
      <c r="E95" s="40" t="str">
        <f t="shared" si="30"/>
        <v>/</v>
      </c>
      <c r="F95" s="40" t="str">
        <f t="shared" si="30"/>
        <v>/</v>
      </c>
      <c r="G95" s="40" t="str">
        <f t="shared" si="30"/>
        <v>/</v>
      </c>
      <c r="H95" s="40" t="str">
        <f t="shared" si="30"/>
        <v>/</v>
      </c>
      <c r="I95" s="40" t="str">
        <f t="shared" si="30"/>
        <v>/</v>
      </c>
      <c r="J95" s="40" t="str">
        <f t="shared" si="30"/>
        <v>/</v>
      </c>
      <c r="K95" s="40" t="str">
        <f t="shared" si="30"/>
        <v>/</v>
      </c>
      <c r="L95" s="40" t="str">
        <f t="shared" si="30"/>
        <v>/</v>
      </c>
      <c r="M95" s="40" t="str">
        <f t="shared" si="30"/>
        <v>/</v>
      </c>
    </row>
    <row r="96" spans="2:13" hidden="1" x14ac:dyDescent="0.25"/>
    <row r="97" spans="4:6" hidden="1" x14ac:dyDescent="0.25"/>
    <row r="98" spans="4:6" hidden="1" x14ac:dyDescent="0.25">
      <c r="D98" s="106" t="s">
        <v>155</v>
      </c>
      <c r="E98" s="107" t="s">
        <v>156</v>
      </c>
      <c r="F98" s="107" t="s">
        <v>157</v>
      </c>
    </row>
    <row r="99" spans="4:6" hidden="1" x14ac:dyDescent="0.25">
      <c r="D99" s="57" t="s">
        <v>165</v>
      </c>
      <c r="E99" s="38">
        <v>275</v>
      </c>
      <c r="F99" s="109">
        <v>0.2</v>
      </c>
    </row>
    <row r="100" spans="4:6" hidden="1" x14ac:dyDescent="0.25">
      <c r="D100" s="57" t="s">
        <v>166</v>
      </c>
      <c r="E100" s="38">
        <v>275</v>
      </c>
      <c r="F100" s="109">
        <v>0.2</v>
      </c>
    </row>
    <row r="101" spans="4:6" hidden="1" x14ac:dyDescent="0.25">
      <c r="D101" s="57" t="s">
        <v>167</v>
      </c>
      <c r="E101" s="38">
        <v>280</v>
      </c>
      <c r="F101" s="109">
        <v>0.25</v>
      </c>
    </row>
    <row r="102" spans="4:6" hidden="1" x14ac:dyDescent="0.25">
      <c r="D102" s="57" t="s">
        <v>168</v>
      </c>
      <c r="E102" s="38">
        <v>280</v>
      </c>
      <c r="F102" s="109">
        <v>0.25</v>
      </c>
    </row>
    <row r="103" spans="4:6" hidden="1" x14ac:dyDescent="0.25">
      <c r="D103" s="57" t="s">
        <v>169</v>
      </c>
      <c r="E103" s="38">
        <v>275</v>
      </c>
      <c r="F103" s="109">
        <v>0.2</v>
      </c>
    </row>
    <row r="104" spans="4:6" hidden="1" x14ac:dyDescent="0.25">
      <c r="D104" s="57" t="s">
        <v>170</v>
      </c>
      <c r="E104" s="38">
        <v>275</v>
      </c>
      <c r="F104" s="109">
        <v>0.2</v>
      </c>
    </row>
    <row r="105" spans="4:6" hidden="1" x14ac:dyDescent="0.25">
      <c r="D105" s="57" t="s">
        <v>171</v>
      </c>
      <c r="E105" s="38">
        <v>175</v>
      </c>
      <c r="F105" s="109">
        <v>0.19</v>
      </c>
    </row>
    <row r="106" spans="4:6" hidden="1" x14ac:dyDescent="0.25">
      <c r="D106" s="57" t="s">
        <v>172</v>
      </c>
      <c r="E106" s="38">
        <v>175</v>
      </c>
      <c r="F106" s="109">
        <v>0.19</v>
      </c>
    </row>
    <row r="107" spans="4:6" hidden="1" x14ac:dyDescent="0.25">
      <c r="D107" s="57" t="s">
        <v>173</v>
      </c>
      <c r="E107" s="38">
        <v>200</v>
      </c>
      <c r="F107" s="109">
        <v>0.2</v>
      </c>
    </row>
    <row r="108" spans="4:6" hidden="1" x14ac:dyDescent="0.25">
      <c r="D108" s="57" t="s">
        <v>174</v>
      </c>
      <c r="E108" s="38">
        <v>200</v>
      </c>
      <c r="F108" s="109">
        <v>0.2</v>
      </c>
    </row>
    <row r="109" spans="4:6" hidden="1" x14ac:dyDescent="0.25">
      <c r="D109" s="57" t="s">
        <v>175</v>
      </c>
      <c r="E109" s="38">
        <v>175</v>
      </c>
      <c r="F109" s="109">
        <v>0.19</v>
      </c>
    </row>
    <row r="110" spans="4:6" hidden="1" x14ac:dyDescent="0.25">
      <c r="D110" s="57" t="s">
        <v>176</v>
      </c>
      <c r="E110" s="38">
        <v>175</v>
      </c>
      <c r="F110" s="109">
        <v>0.19</v>
      </c>
    </row>
    <row r="111" spans="4:6" hidden="1" x14ac:dyDescent="0.25"/>
  </sheetData>
  <sheetProtection algorithmName="SHA-512" hashValue="Trd3eVI4VufAbZeW4/u6eAKjbYJ05igAWTFFUSr7FdZMTL4wW3Gyw9LhwARwk5QcQw4PO8O8xQr/dTH3od62Yg==" saltValue="zdzSyAIfAYjEpJH84V914g==" spinCount="100000" sheet="1" objects="1" scenarios="1"/>
  <conditionalFormatting sqref="D7:M7">
    <cfRule type="expression" dxfId="5" priority="1">
      <formula>AND(D6&lt;&gt;"Split DX Air Conditioner",D6&lt;&gt;"Packaged DX Air Conditioner",D6&lt;&gt;"Split DX Heat Pump",D6&lt;&gt;"Packaged DX Heat Pump")</formula>
    </cfRule>
  </conditionalFormatting>
  <conditionalFormatting sqref="D9:M9">
    <cfRule type="expression" dxfId="4" priority="11">
      <formula>AND(D6&lt;&gt;"air-cooled chiller",D6&lt;&gt;"water-cooled chiller")</formula>
    </cfRule>
  </conditionalFormatting>
  <conditionalFormatting sqref="D10:M10">
    <cfRule type="expression" dxfId="3" priority="7">
      <formula>AND(D6&lt;&gt;"air-cooled chiller",D6&lt;&gt;"water-cooled chiller")</formula>
    </cfRule>
  </conditionalFormatting>
  <conditionalFormatting sqref="D13:M13">
    <cfRule type="expression" dxfId="2" priority="27">
      <formula>AND(D6&lt;&gt;"Split DX Heat Pump",D6&lt;&gt;"Packaged DX Heat Pump")</formula>
    </cfRule>
  </conditionalFormatting>
  <conditionalFormatting sqref="D16:M16">
    <cfRule type="expression" dxfId="1" priority="10">
      <formula>D6&lt;&gt;"DX Heat Pump"</formula>
    </cfRule>
  </conditionalFormatting>
  <conditionalFormatting sqref="D22:M22">
    <cfRule type="expression" dxfId="0" priority="3">
      <formula>AND(D6&lt;&gt;"Split DX Heat Pump",D6&lt;&gt;"Packaged DX Heat Pump")</formula>
    </cfRule>
  </conditionalFormatting>
  <dataValidations count="9">
    <dataValidation type="list" allowBlank="1" showInputMessage="1" showErrorMessage="1" sqref="D9:M9" xr:uid="{79574FF4-8AF6-482E-9744-B83BA2A85822}">
      <formula1>"Centrifugal, Screw, Scroll, Reciprocating"</formula1>
    </dataValidation>
    <dataValidation type="list" allowBlank="1" showInputMessage="1" showErrorMessage="1" sqref="D2" xr:uid="{2E3AE955-0A22-402B-9C9A-96EE4D00CB47}">
      <formula1>"Commercial Comprehensive,SCORE Plus"</formula1>
    </dataValidation>
    <dataValidation type="list" allowBlank="1" showInputMessage="1" showErrorMessage="1" sqref="D10:M10" xr:uid="{542A4A36-0155-4833-B162-90814F24DB2E}">
      <formula1>"A,B"</formula1>
    </dataValidation>
    <dataValidation type="decimal" operator="greaterThanOrEqual" allowBlank="1" showInputMessage="1" showErrorMessage="1" error="Make sure you are entering HVAC capacity in Btuh instead of Tons" sqref="D12:M13" xr:uid="{B14E19B0-E031-4762-87BA-E34263C4877F}">
      <formula1>6000</formula1>
    </dataValidation>
    <dataValidation type="list" allowBlank="1" showInputMessage="1" showErrorMessage="1" sqref="D7:M7" xr:uid="{C8424092-88BC-4A8C-806C-1575A452744C}">
      <formula1>"Electric Resistance (or None), Other"</formula1>
    </dataValidation>
    <dataValidation type="list" allowBlank="1" showInputMessage="1" showErrorMessage="1" sqref="D6:M6" xr:uid="{5C224B8F-7C4E-4926-98DE-9654DDE558D9}">
      <formula1>"Split DX Air Conditioner, Packaged DX Air Conditioner, Split DX Heat Pump, Packaged DX Heat Pump, Air-Cooled Chiller, Water-Cooled Chiller"</formula1>
    </dataValidation>
    <dataValidation type="list" allowBlank="1" showInputMessage="1" showErrorMessage="1" sqref="E4:M4" xr:uid="{F5AA6E93-9817-421A-9494-5E73CE15F7DD}">
      <formula1>"Before 4/1/2021, On or after 4/1/2021"</formula1>
    </dataValidation>
    <dataValidation type="list" allowBlank="1" showInputMessage="1" showErrorMessage="1" sqref="D3:M3" xr:uid="{949F9CD1-1AFE-4D90-8415-B29DB9E9FE26}">
      <formula1>"Retrofit, New Construction"</formula1>
    </dataValidation>
    <dataValidation type="list" allowBlank="1" showInputMessage="1" showErrorMessage="1" sqref="D4" xr:uid="{F36E4AC4-2774-44B4-881C-139D483E066F}">
      <formula1>"Before 7/31/2024, On or after 7/31/2024"</formula1>
    </dataValidation>
  </dataValidations>
  <pageMargins left="0.7" right="0.7" top="0.75" bottom="0.75" header="0.3" footer="0.3"/>
  <pageSetup orientation="portrait" r:id="rId1"/>
  <ignoredErrors>
    <ignoredError sqref="E2:M2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B7E4C124-44B4-45BE-B653-B103B1E8B01F}">
          <x14:formula1>
            <xm:f>INDIRECT('Factor Tables'!$M$3)</xm:f>
          </x14:formula1>
          <xm:sqref>D11</xm:sqref>
        </x14:dataValidation>
        <x14:dataValidation type="list" allowBlank="1" showInputMessage="1" showErrorMessage="1" xr:uid="{DCB4EC20-2833-4B1E-B7DD-E866C6D9EACC}">
          <x14:formula1>
            <xm:f>INDIRECT('Factor Tables'!$M$5)</xm:f>
          </x14:formula1>
          <xm:sqref>F11</xm:sqref>
        </x14:dataValidation>
        <x14:dataValidation type="list" allowBlank="1" showInputMessage="1" showErrorMessage="1" xr:uid="{05002DB0-8B87-4283-BD87-08334A5523A1}">
          <x14:formula1>
            <xm:f>INDIRECT('Factor Tables'!$M$6)</xm:f>
          </x14:formula1>
          <xm:sqref>G11</xm:sqref>
        </x14:dataValidation>
        <x14:dataValidation type="list" allowBlank="1" showInputMessage="1" showErrorMessage="1" xr:uid="{3546C2D0-F5B5-4579-952D-92D165CA746C}">
          <x14:formula1>
            <xm:f>INDIRECT('Factor Tables'!$M$7)</xm:f>
          </x14:formula1>
          <xm:sqref>H11</xm:sqref>
        </x14:dataValidation>
        <x14:dataValidation type="list" allowBlank="1" showInputMessage="1" showErrorMessage="1" xr:uid="{37707527-C235-49FC-8947-9824EB913A29}">
          <x14:formula1>
            <xm:f>INDIRECT('Factor Tables'!$M$8)</xm:f>
          </x14:formula1>
          <xm:sqref>I11</xm:sqref>
        </x14:dataValidation>
        <x14:dataValidation type="list" allowBlank="1" showInputMessage="1" showErrorMessage="1" xr:uid="{58DFB951-C115-4C8B-AE37-6E5FD051D17D}">
          <x14:formula1>
            <xm:f>INDIRECT('Factor Tables'!$M$9)</xm:f>
          </x14:formula1>
          <xm:sqref>J11</xm:sqref>
        </x14:dataValidation>
        <x14:dataValidation type="list" allowBlank="1" showInputMessage="1" showErrorMessage="1" xr:uid="{B71E374F-D3EE-470A-8357-2AE1CFD4DEEB}">
          <x14:formula1>
            <xm:f>INDIRECT('Factor Tables'!$M$10)</xm:f>
          </x14:formula1>
          <xm:sqref>K11</xm:sqref>
        </x14:dataValidation>
        <x14:dataValidation type="list" allowBlank="1" showInputMessage="1" showErrorMessage="1" xr:uid="{BDCF2882-BC0C-4BBF-99B3-765A42A12F97}">
          <x14:formula1>
            <xm:f>INDIRECT('Factor Tables'!$M$11)</xm:f>
          </x14:formula1>
          <xm:sqref>L11</xm:sqref>
        </x14:dataValidation>
        <x14:dataValidation type="list" allowBlank="1" showInputMessage="1" showErrorMessage="1" xr:uid="{F9ED597F-0649-409C-8275-F5B5D7D4F623}">
          <x14:formula1>
            <xm:f>INDIRECT('Factor Tables'!$M$12)</xm:f>
          </x14:formula1>
          <xm:sqref>M11</xm:sqref>
        </x14:dataValidation>
        <x14:dataValidation type="list" allowBlank="1" showInputMessage="1" showErrorMessage="1" xr:uid="{21B6BBAB-458F-42FD-BA92-41B7074830B8}">
          <x14:formula1>
            <xm:f>INDIRECT('Factor Tables'!$M$4)</xm:f>
          </x14:formula1>
          <xm:sqref>E11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Q110"/>
  <sheetViews>
    <sheetView workbookViewId="0">
      <selection activeCell="F42" sqref="F42"/>
    </sheetView>
  </sheetViews>
  <sheetFormatPr defaultColWidth="9.140625" defaultRowHeight="15" x14ac:dyDescent="0.25"/>
  <cols>
    <col min="1" max="1" width="2.7109375" style="23" customWidth="1"/>
    <col min="2" max="2" width="32" style="23" bestFit="1" customWidth="1"/>
    <col min="3" max="10" width="14.7109375" style="23" customWidth="1"/>
    <col min="11" max="11" width="14.7109375" style="23" hidden="1" customWidth="1"/>
    <col min="12" max="12" width="2.7109375" style="23" hidden="1" customWidth="1"/>
    <col min="13" max="13" width="32.7109375" style="23" hidden="1" customWidth="1"/>
    <col min="14" max="14" width="2.7109375" style="23" hidden="1" customWidth="1"/>
    <col min="15" max="17" width="32.7109375" style="23" hidden="1" customWidth="1"/>
    <col min="18" max="16384" width="9.140625" style="23"/>
  </cols>
  <sheetData>
    <row r="1" spans="2:17" ht="9.9499999999999993" customHeight="1" x14ac:dyDescent="0.25"/>
    <row r="2" spans="2:17" x14ac:dyDescent="0.25">
      <c r="B2" s="139" t="s">
        <v>0</v>
      </c>
      <c r="C2" s="139" t="s">
        <v>42</v>
      </c>
      <c r="D2" s="139"/>
      <c r="E2" s="139"/>
      <c r="F2" s="139"/>
      <c r="G2" s="139" t="s">
        <v>81</v>
      </c>
      <c r="H2" s="139"/>
      <c r="I2" s="139"/>
    </row>
    <row r="3" spans="2:17" ht="30" x14ac:dyDescent="0.25">
      <c r="B3" s="139"/>
      <c r="C3" s="81" t="s">
        <v>78</v>
      </c>
      <c r="D3" s="81" t="s">
        <v>79</v>
      </c>
      <c r="E3" s="82" t="s">
        <v>24</v>
      </c>
      <c r="F3" s="82" t="s">
        <v>23</v>
      </c>
      <c r="G3" s="81" t="s">
        <v>80</v>
      </c>
      <c r="H3" s="82" t="s">
        <v>24</v>
      </c>
      <c r="I3" s="82" t="s">
        <v>23</v>
      </c>
      <c r="M3" s="38" t="str">
        <f>IF(OR(Inventory!$D$6="Split DX Air Conditioner",Inventory!$D$6="Packaged DX Air Conditioner",Inventory!$D$6="Split DX Heat Pump",Inventory!$D$6="Packaged DX Heat Pump"),"BuildingTypesDX",IF(Inventory!$D$6="Air-Cooled Chiller","BuildingTypesACC",IF(Inventory!$D$6="Water-Cooled Chiller","BuildingTypesWCC","")))</f>
        <v/>
      </c>
      <c r="N3" s="40"/>
      <c r="O3" s="23" t="s">
        <v>44</v>
      </c>
      <c r="P3" s="23" t="s">
        <v>45</v>
      </c>
      <c r="Q3" s="23" t="s">
        <v>46</v>
      </c>
    </row>
    <row r="4" spans="2:17" x14ac:dyDescent="0.25">
      <c r="B4" s="57" t="s">
        <v>25</v>
      </c>
      <c r="C4" s="102">
        <v>1343</v>
      </c>
      <c r="D4" s="102">
        <f>D$26</f>
        <v>179</v>
      </c>
      <c r="E4" s="103">
        <v>995</v>
      </c>
      <c r="F4" s="103">
        <v>1473</v>
      </c>
      <c r="G4" s="104">
        <v>0.91</v>
      </c>
      <c r="H4" s="105">
        <v>0.64</v>
      </c>
      <c r="I4" s="105">
        <v>0.56000000000000005</v>
      </c>
      <c r="M4" s="38" t="str">
        <f>IF(OR(Inventory!$E$6="Split DX Air Conditioner",Inventory!$E$6="Packaged DX Air Conditioner",Inventory!$E$6="Split DX Heat Pump",Inventory!$E$6="Packaged DX Heat Pump"),"BuildingTypesDX",IF(Inventory!$E$6="Air-Cooled Chiller","BuildingTypesACC",IF(Inventory!$E$6="Water-Cooled Chiller","BuildingTypesWCC","")))</f>
        <v/>
      </c>
      <c r="N4" s="40"/>
      <c r="O4" s="23" t="s">
        <v>25</v>
      </c>
      <c r="P4" s="23" t="s">
        <v>25</v>
      </c>
      <c r="Q4" s="23" t="s">
        <v>25</v>
      </c>
    </row>
    <row r="5" spans="2:17" x14ac:dyDescent="0.25">
      <c r="B5" s="57" t="s">
        <v>26</v>
      </c>
      <c r="C5" s="102">
        <v>1290</v>
      </c>
      <c r="D5" s="102">
        <f>D$26</f>
        <v>179</v>
      </c>
      <c r="E5" s="103">
        <f t="shared" ref="E5:F5" si="0">E9</f>
        <v>1259</v>
      </c>
      <c r="F5" s="103">
        <f t="shared" si="0"/>
        <v>1436</v>
      </c>
      <c r="G5" s="104">
        <v>0.87</v>
      </c>
      <c r="H5" s="105">
        <f>H9</f>
        <v>0.98</v>
      </c>
      <c r="I5" s="105">
        <f>I9</f>
        <v>1.01</v>
      </c>
      <c r="M5" s="38" t="str">
        <f>IF(OR(Inventory!$F$6="Split DX Air Conditioner",Inventory!$F$6="Packaged DX Air Conditioner",Inventory!$F$6="Split DX Heat Pump",Inventory!$F$6="Packaged DX Heat Pump"),"BuildingTypesDX",IF(Inventory!$F$6="Air-Cooled Chiller","BuildingTypesACC",IF(Inventory!$F$6="Water-Cooled Chiller","BuildingTypesWCC","")))</f>
        <v/>
      </c>
      <c r="N5" s="40"/>
      <c r="O5" s="23" t="s">
        <v>26</v>
      </c>
      <c r="P5" s="23" t="s">
        <v>26</v>
      </c>
      <c r="Q5" s="23" t="s">
        <v>26</v>
      </c>
    </row>
    <row r="6" spans="2:17" x14ac:dyDescent="0.25">
      <c r="B6" s="57" t="s">
        <v>27</v>
      </c>
      <c r="C6" s="102">
        <v>508</v>
      </c>
      <c r="D6" s="102">
        <v>500</v>
      </c>
      <c r="E6" s="103">
        <v>740</v>
      </c>
      <c r="F6" s="103">
        <v>1096</v>
      </c>
      <c r="G6" s="104">
        <v>0.91</v>
      </c>
      <c r="H6" s="105">
        <v>0.64</v>
      </c>
      <c r="I6" s="105">
        <v>0.56000000000000005</v>
      </c>
      <c r="M6" s="38" t="str">
        <f>IF(OR(Inventory!$G$6="Split DX Air Conditioner",Inventory!$G$6="Packaged DX Air Conditioner",Inventory!$G$6="Split DX Heat Pump",Inventory!$G$6="Packaged DX Heat Pump"),"BuildingTypesDX",IF(Inventory!$G$6="Air-Cooled Chiller","BuildingTypesACC",IF(Inventory!$G$6="Water-Cooled Chiller","BuildingTypesWCC","")))</f>
        <v/>
      </c>
      <c r="N6" s="40"/>
      <c r="O6" s="23" t="s">
        <v>27</v>
      </c>
      <c r="P6" s="23" t="s">
        <v>27</v>
      </c>
      <c r="Q6" s="23" t="s">
        <v>27</v>
      </c>
    </row>
    <row r="7" spans="2:17" x14ac:dyDescent="0.25">
      <c r="B7" s="57" t="s">
        <v>28</v>
      </c>
      <c r="C7" s="102">
        <v>560</v>
      </c>
      <c r="D7" s="102">
        <v>528</v>
      </c>
      <c r="E7" s="103">
        <v>740</v>
      </c>
      <c r="F7" s="103">
        <v>1096</v>
      </c>
      <c r="G7" s="104">
        <v>0.91</v>
      </c>
      <c r="H7" s="58">
        <v>0</v>
      </c>
      <c r="I7" s="58">
        <v>0</v>
      </c>
      <c r="M7" s="38" t="str">
        <f>IF(OR(Inventory!$H$6="Split DX Air Conditioner",Inventory!$H$6="Packaged DX Air Conditioner",Inventory!$H$6="Split DX Heat Pump",Inventory!$H$6="Packaged DX Heat Pump"),"BuildingTypesDX",IF(Inventory!$H$6="Air-Cooled Chiller","BuildingTypesACC",IF(Inventory!$H$6="Water-Cooled Chiller","BuildingTypesWCC","")))</f>
        <v/>
      </c>
      <c r="N7" s="40"/>
      <c r="O7" s="23" t="s">
        <v>28</v>
      </c>
      <c r="P7" s="23" t="s">
        <v>29</v>
      </c>
      <c r="Q7" s="23" t="s">
        <v>29</v>
      </c>
    </row>
    <row r="8" spans="2:17" x14ac:dyDescent="0.25">
      <c r="B8" s="57" t="s">
        <v>29</v>
      </c>
      <c r="C8" s="102">
        <v>479</v>
      </c>
      <c r="D8" s="102">
        <v>528</v>
      </c>
      <c r="E8" s="103">
        <v>1023</v>
      </c>
      <c r="F8" s="103">
        <v>2163</v>
      </c>
      <c r="G8" s="104">
        <v>0.87</v>
      </c>
      <c r="H8" s="105">
        <v>0.81</v>
      </c>
      <c r="I8" s="105">
        <v>0.56999999999999995</v>
      </c>
      <c r="M8" s="38" t="str">
        <f>IF(OR(Inventory!$I$6="Split DX Air Conditioner",Inventory!$I$6="Packaged DX Air Conditioner",Inventory!$I$6="Split DX Heat Pump",Inventory!$I$6="Packaged DX Heat Pump"),"BuildingTypesDX",IF(Inventory!$I$6="Air-Cooled Chiller","BuildingTypesACC",IF(Inventory!$I$6="Water-Cooled Chiller","BuildingTypesWCC","")))</f>
        <v/>
      </c>
      <c r="N8" s="40"/>
      <c r="O8" s="23" t="s">
        <v>29</v>
      </c>
      <c r="P8" s="23" t="s">
        <v>30</v>
      </c>
      <c r="Q8" s="23" t="s">
        <v>30</v>
      </c>
    </row>
    <row r="9" spans="2:17" x14ac:dyDescent="0.25">
      <c r="B9" s="57" t="s">
        <v>30</v>
      </c>
      <c r="C9" s="102">
        <v>1233</v>
      </c>
      <c r="D9" s="102">
        <f>D$26</f>
        <v>179</v>
      </c>
      <c r="E9" s="103">
        <v>1259</v>
      </c>
      <c r="F9" s="103">
        <v>1436</v>
      </c>
      <c r="G9" s="104">
        <v>0.87</v>
      </c>
      <c r="H9" s="105">
        <v>0.98</v>
      </c>
      <c r="I9" s="105">
        <v>1.01</v>
      </c>
      <c r="M9" s="38" t="str">
        <f>IF(OR(Inventory!$J$6="Split DX Air Conditioner",Inventory!$J$6="Packaged DX Air Conditioner",Inventory!$J$6="Split DX Heat Pump",Inventory!$J$6="Packaged DX Heat Pump"),"BuildingTypesDX",IF(Inventory!$J$6="Air-Cooled Chiller","BuildingTypesACC",IF(Inventory!$J$6="Water-Cooled Chiller","BuildingTypesWCC","")))</f>
        <v/>
      </c>
      <c r="N9" s="40"/>
      <c r="O9" s="23" t="s">
        <v>30</v>
      </c>
      <c r="P9" s="23" t="s">
        <v>32</v>
      </c>
      <c r="Q9" s="23" t="s">
        <v>32</v>
      </c>
    </row>
    <row r="10" spans="2:17" x14ac:dyDescent="0.25">
      <c r="B10" s="57" t="s">
        <v>31</v>
      </c>
      <c r="C10" s="102">
        <v>961</v>
      </c>
      <c r="D10" s="102">
        <f>D$26</f>
        <v>179</v>
      </c>
      <c r="E10" s="59">
        <v>0</v>
      </c>
      <c r="F10" s="59">
        <v>0</v>
      </c>
      <c r="G10" s="104">
        <v>0.8</v>
      </c>
      <c r="H10" s="58">
        <v>0</v>
      </c>
      <c r="I10" s="58">
        <v>0</v>
      </c>
      <c r="M10" s="38" t="str">
        <f>IF(OR(Inventory!$K$6="Split DX Air Conditioner",Inventory!$K$6="Packaged DX Air Conditioner",Inventory!$K$6="Split DX Heat Pump",Inventory!$K$6="Packaged DX Heat Pump"),"BuildingTypesDX",IF(Inventory!$K$6="Air-Cooled Chiller","BuildingTypesACC",IF(Inventory!$K$6="Water-Cooled Chiller","BuildingTypesWCC","")))</f>
        <v/>
      </c>
      <c r="N10" s="40"/>
      <c r="O10" s="23" t="s">
        <v>31</v>
      </c>
      <c r="P10" s="23" t="s">
        <v>33</v>
      </c>
      <c r="Q10" s="23" t="s">
        <v>33</v>
      </c>
    </row>
    <row r="11" spans="2:17" x14ac:dyDescent="0.25">
      <c r="B11" s="57" t="s">
        <v>32</v>
      </c>
      <c r="C11" s="102">
        <v>1181</v>
      </c>
      <c r="D11" s="102">
        <f>D$26</f>
        <v>179</v>
      </c>
      <c r="E11" s="103">
        <v>2319</v>
      </c>
      <c r="F11" s="103">
        <v>2946</v>
      </c>
      <c r="G11" s="104">
        <v>0.81</v>
      </c>
      <c r="H11" s="105">
        <v>0.75</v>
      </c>
      <c r="I11" s="105">
        <v>0.62</v>
      </c>
      <c r="M11" s="38" t="str">
        <f>IF(OR(Inventory!$L$6="Split DX Air Conditioner",Inventory!$L$6="Packaged DX Air Conditioner",Inventory!$L$6="Split DX Heat Pump",Inventory!$L$6="Packaged DX Heat Pump"),"BuildingTypesDX",IF(Inventory!$L$6="Air-Cooled Chiller","BuildingTypesACC",IF(Inventory!$L$6="Water-Cooled Chiller","BuildingTypesWCC","")))</f>
        <v/>
      </c>
      <c r="N11" s="40"/>
      <c r="O11" s="23" t="s">
        <v>32</v>
      </c>
      <c r="P11" s="23" t="s">
        <v>85</v>
      </c>
      <c r="Q11" s="23" t="s">
        <v>85</v>
      </c>
    </row>
    <row r="12" spans="2:17" x14ac:dyDescent="0.25">
      <c r="B12" s="57" t="s">
        <v>33</v>
      </c>
      <c r="C12" s="102">
        <v>958</v>
      </c>
      <c r="D12" s="102">
        <f>D$26</f>
        <v>179</v>
      </c>
      <c r="E12" s="103">
        <v>841</v>
      </c>
      <c r="F12" s="103">
        <v>1553</v>
      </c>
      <c r="G12" s="104">
        <v>0.88</v>
      </c>
      <c r="H12" s="105">
        <v>0.59</v>
      </c>
      <c r="I12" s="105">
        <v>0.55000000000000004</v>
      </c>
      <c r="M12" s="38" t="str">
        <f>IF(OR(Inventory!$M$6="Split DX Air Conditioner",Inventory!$M$6="Packaged DX Air Conditioner",Inventory!$M$6="Split DX Heat Pump",Inventory!$M$6="Packaged DX Heat Pump"),"BuildingTypesDX",IF(Inventory!$M$6="Air-Cooled Chiller","BuildingTypesACC",IF(Inventory!$M$6="Water-Cooled Chiller","BuildingTypesWCC","")))</f>
        <v/>
      </c>
      <c r="N12" s="40"/>
      <c r="O12" s="23" t="s">
        <v>33</v>
      </c>
      <c r="P12" s="23" t="s">
        <v>114</v>
      </c>
      <c r="Q12" s="23" t="s">
        <v>114</v>
      </c>
    </row>
    <row r="13" spans="2:17" x14ac:dyDescent="0.25">
      <c r="B13" s="57" t="s">
        <v>85</v>
      </c>
      <c r="C13" s="102">
        <v>1679</v>
      </c>
      <c r="D13" s="102">
        <v>383</v>
      </c>
      <c r="E13" s="103">
        <v>1787</v>
      </c>
      <c r="F13" s="103">
        <v>2007</v>
      </c>
      <c r="G13" s="104">
        <v>0.63</v>
      </c>
      <c r="H13" s="105">
        <v>0.66</v>
      </c>
      <c r="I13" s="105">
        <v>0.61</v>
      </c>
      <c r="O13" s="23" t="s">
        <v>85</v>
      </c>
      <c r="P13" s="23" t="s">
        <v>82</v>
      </c>
      <c r="Q13" s="23" t="s">
        <v>82</v>
      </c>
    </row>
    <row r="14" spans="2:17" x14ac:dyDescent="0.25">
      <c r="B14" s="57" t="s">
        <v>34</v>
      </c>
      <c r="C14" s="102">
        <v>1238</v>
      </c>
      <c r="D14" s="102">
        <v>179</v>
      </c>
      <c r="E14" s="59">
        <v>0</v>
      </c>
      <c r="F14" s="59">
        <v>0</v>
      </c>
      <c r="G14" s="104">
        <v>0.38</v>
      </c>
      <c r="H14" s="58">
        <v>0</v>
      </c>
      <c r="I14" s="58">
        <v>0</v>
      </c>
      <c r="O14" s="23" t="s">
        <v>34</v>
      </c>
      <c r="P14" s="23" t="s">
        <v>83</v>
      </c>
      <c r="Q14" s="23" t="s">
        <v>83</v>
      </c>
    </row>
    <row r="15" spans="2:17" x14ac:dyDescent="0.25">
      <c r="B15" s="57" t="s">
        <v>35</v>
      </c>
      <c r="C15" s="102">
        <v>958</v>
      </c>
      <c r="D15" s="102">
        <v>179</v>
      </c>
      <c r="E15" s="59">
        <v>0</v>
      </c>
      <c r="F15" s="59">
        <v>0</v>
      </c>
      <c r="G15" s="104">
        <v>0.38</v>
      </c>
      <c r="H15" s="58">
        <v>0</v>
      </c>
      <c r="I15" s="58">
        <v>0</v>
      </c>
      <c r="O15" s="23" t="s">
        <v>35</v>
      </c>
      <c r="P15" s="23" t="s">
        <v>84</v>
      </c>
      <c r="Q15" s="23" t="s">
        <v>84</v>
      </c>
    </row>
    <row r="16" spans="2:17" x14ac:dyDescent="0.25">
      <c r="B16" s="57" t="s">
        <v>114</v>
      </c>
      <c r="C16" s="102">
        <v>1174</v>
      </c>
      <c r="D16" s="102">
        <v>179</v>
      </c>
      <c r="E16" s="103">
        <v>1420</v>
      </c>
      <c r="F16" s="103">
        <v>1657</v>
      </c>
      <c r="G16" s="104">
        <v>0.81</v>
      </c>
      <c r="H16" s="105">
        <v>0.81</v>
      </c>
      <c r="I16" s="105">
        <v>0.63</v>
      </c>
      <c r="O16" s="23" t="s">
        <v>114</v>
      </c>
      <c r="P16" s="23" t="s">
        <v>86</v>
      </c>
      <c r="Q16" s="23" t="s">
        <v>86</v>
      </c>
    </row>
    <row r="17" spans="2:15" x14ac:dyDescent="0.25">
      <c r="B17" s="57" t="s">
        <v>82</v>
      </c>
      <c r="C17" s="102">
        <f>C4</f>
        <v>1343</v>
      </c>
      <c r="D17" s="102">
        <f>D$26</f>
        <v>179</v>
      </c>
      <c r="E17" s="103">
        <v>428</v>
      </c>
      <c r="F17" s="103">
        <v>562</v>
      </c>
      <c r="G17" s="104">
        <f>G4</f>
        <v>0.91</v>
      </c>
      <c r="H17" s="105">
        <v>0.67</v>
      </c>
      <c r="I17" s="105">
        <v>0.57999999999999996</v>
      </c>
      <c r="O17" s="23" t="s">
        <v>36</v>
      </c>
    </row>
    <row r="18" spans="2:15" x14ac:dyDescent="0.25">
      <c r="B18" s="57" t="s">
        <v>36</v>
      </c>
      <c r="C18" s="102">
        <v>1267</v>
      </c>
      <c r="D18" s="102">
        <v>639</v>
      </c>
      <c r="E18" s="59">
        <v>0</v>
      </c>
      <c r="F18" s="59">
        <v>0</v>
      </c>
      <c r="G18" s="104">
        <v>0.76</v>
      </c>
      <c r="H18" s="58">
        <v>0</v>
      </c>
      <c r="I18" s="58">
        <v>0</v>
      </c>
      <c r="O18" s="23" t="s">
        <v>37</v>
      </c>
    </row>
    <row r="19" spans="2:15" x14ac:dyDescent="0.25">
      <c r="B19" s="57" t="s">
        <v>37</v>
      </c>
      <c r="C19" s="102">
        <v>1218</v>
      </c>
      <c r="D19" s="102">
        <v>751</v>
      </c>
      <c r="E19" s="59">
        <v>0</v>
      </c>
      <c r="F19" s="59">
        <v>0</v>
      </c>
      <c r="G19" s="104">
        <v>0.76</v>
      </c>
      <c r="H19" s="58">
        <v>0</v>
      </c>
      <c r="I19" s="58">
        <v>0</v>
      </c>
      <c r="O19" s="23" t="s">
        <v>39</v>
      </c>
    </row>
    <row r="20" spans="2:15" x14ac:dyDescent="0.25">
      <c r="B20" s="57" t="s">
        <v>83</v>
      </c>
      <c r="C20" s="60">
        <v>0</v>
      </c>
      <c r="D20" s="60">
        <v>0</v>
      </c>
      <c r="E20" s="103">
        <v>871</v>
      </c>
      <c r="F20" s="103">
        <v>1350</v>
      </c>
      <c r="G20" s="61">
        <v>0</v>
      </c>
      <c r="H20" s="105">
        <v>0.64</v>
      </c>
      <c r="I20" s="105">
        <v>0.63</v>
      </c>
      <c r="O20" s="23" t="s">
        <v>38</v>
      </c>
    </row>
    <row r="21" spans="2:15" x14ac:dyDescent="0.25">
      <c r="B21" s="57" t="s">
        <v>39</v>
      </c>
      <c r="C21" s="102">
        <v>1470</v>
      </c>
      <c r="D21" s="102">
        <v>470</v>
      </c>
      <c r="E21" s="59">
        <v>0</v>
      </c>
      <c r="F21" s="59">
        <v>0</v>
      </c>
      <c r="G21" s="104">
        <v>0.8</v>
      </c>
      <c r="H21" s="58">
        <v>0</v>
      </c>
      <c r="I21" s="58">
        <v>0</v>
      </c>
      <c r="O21" s="23" t="s">
        <v>40</v>
      </c>
    </row>
    <row r="22" spans="2:15" x14ac:dyDescent="0.25">
      <c r="B22" s="57" t="s">
        <v>38</v>
      </c>
      <c r="C22" s="102">
        <v>1361</v>
      </c>
      <c r="D22" s="102">
        <v>549</v>
      </c>
      <c r="E22" s="59">
        <v>0</v>
      </c>
      <c r="F22" s="59">
        <v>0</v>
      </c>
      <c r="G22" s="104">
        <v>0.83</v>
      </c>
      <c r="H22" s="58">
        <v>0</v>
      </c>
      <c r="I22" s="58">
        <v>0</v>
      </c>
      <c r="O22" s="23" t="s">
        <v>41</v>
      </c>
    </row>
    <row r="23" spans="2:15" x14ac:dyDescent="0.25">
      <c r="B23" s="57" t="s">
        <v>84</v>
      </c>
      <c r="C23" s="60">
        <v>0</v>
      </c>
      <c r="D23" s="60">
        <v>0</v>
      </c>
      <c r="E23" s="103">
        <v>711</v>
      </c>
      <c r="F23" s="103">
        <v>934</v>
      </c>
      <c r="G23" s="61">
        <v>0</v>
      </c>
      <c r="H23" s="105">
        <v>0.67</v>
      </c>
      <c r="I23" s="105">
        <v>0.57999999999999996</v>
      </c>
      <c r="O23" s="23" t="s">
        <v>86</v>
      </c>
    </row>
    <row r="24" spans="2:15" x14ac:dyDescent="0.25">
      <c r="B24" s="57" t="s">
        <v>40</v>
      </c>
      <c r="C24" s="102">
        <v>698</v>
      </c>
      <c r="D24" s="102">
        <f>D$26</f>
        <v>179</v>
      </c>
      <c r="E24" s="59">
        <v>0</v>
      </c>
      <c r="F24" s="59">
        <v>0</v>
      </c>
      <c r="G24" s="104">
        <v>0.75</v>
      </c>
      <c r="H24" s="58">
        <v>0</v>
      </c>
      <c r="I24" s="58">
        <v>0</v>
      </c>
    </row>
    <row r="25" spans="2:15" x14ac:dyDescent="0.25">
      <c r="B25" s="57" t="s">
        <v>41</v>
      </c>
      <c r="C25" s="102">
        <v>1498</v>
      </c>
      <c r="D25" s="102">
        <f>D$26</f>
        <v>179</v>
      </c>
      <c r="E25" s="59">
        <v>0</v>
      </c>
      <c r="F25" s="59">
        <v>0</v>
      </c>
      <c r="G25" s="104">
        <v>0.75</v>
      </c>
      <c r="H25" s="58">
        <v>0</v>
      </c>
      <c r="I25" s="58">
        <v>0</v>
      </c>
    </row>
    <row r="26" spans="2:15" x14ac:dyDescent="0.25">
      <c r="B26" s="57" t="s">
        <v>86</v>
      </c>
      <c r="C26" s="102">
        <v>1109</v>
      </c>
      <c r="D26" s="102">
        <v>179</v>
      </c>
      <c r="E26" s="103">
        <v>428</v>
      </c>
      <c r="F26" s="103">
        <v>562</v>
      </c>
      <c r="G26" s="104">
        <v>0.38</v>
      </c>
      <c r="H26" s="105">
        <v>0.59</v>
      </c>
      <c r="I26" s="105">
        <v>0.55000000000000004</v>
      </c>
    </row>
    <row r="28" spans="2:15" x14ac:dyDescent="0.25">
      <c r="B28" s="24" t="s">
        <v>147</v>
      </c>
    </row>
    <row r="29" spans="2:15" x14ac:dyDescent="0.25">
      <c r="B29" s="139" t="s">
        <v>47</v>
      </c>
      <c r="C29" s="139" t="s">
        <v>136</v>
      </c>
      <c r="D29" s="139"/>
      <c r="E29" s="139"/>
      <c r="F29" s="139" t="s">
        <v>161</v>
      </c>
      <c r="G29" s="139"/>
      <c r="H29" s="139"/>
    </row>
    <row r="30" spans="2:15" x14ac:dyDescent="0.25">
      <c r="B30" s="139"/>
      <c r="C30" s="83" t="s">
        <v>56</v>
      </c>
      <c r="D30" s="84" t="s">
        <v>71</v>
      </c>
      <c r="E30" s="84" t="s">
        <v>90</v>
      </c>
      <c r="F30" s="83" t="s">
        <v>56</v>
      </c>
      <c r="G30" s="84" t="s">
        <v>163</v>
      </c>
      <c r="H30" s="84" t="s">
        <v>90</v>
      </c>
    </row>
    <row r="31" spans="2:15" x14ac:dyDescent="0.25">
      <c r="B31" s="38" t="s">
        <v>141</v>
      </c>
      <c r="C31" s="101">
        <f>-0.02*D31^2+1.12*D31</f>
        <v>11.180000000000003</v>
      </c>
      <c r="D31" s="100">
        <v>13</v>
      </c>
      <c r="E31" s="79"/>
      <c r="F31" s="99">
        <v>11.417</v>
      </c>
      <c r="G31" s="100">
        <v>13.4</v>
      </c>
      <c r="H31" s="79"/>
    </row>
    <row r="32" spans="2:15" x14ac:dyDescent="0.25">
      <c r="B32" s="38" t="s">
        <v>142</v>
      </c>
      <c r="C32" s="101">
        <f>-0.02*D32^2+1.12*D32</f>
        <v>11.760000000000002</v>
      </c>
      <c r="D32" s="100">
        <v>14</v>
      </c>
      <c r="E32" s="79"/>
      <c r="F32" s="99">
        <v>11.417</v>
      </c>
      <c r="G32" s="100">
        <v>13.4</v>
      </c>
      <c r="H32" s="79"/>
    </row>
    <row r="33" spans="2:8" x14ac:dyDescent="0.25">
      <c r="B33" s="38" t="s">
        <v>58</v>
      </c>
      <c r="C33" s="100">
        <f>IF(Inventory!$D$7="Other",11,11.2)</f>
        <v>11.2</v>
      </c>
      <c r="D33" s="100">
        <f>IF(Inventory!$D$7="Other",12.7,12.9)</f>
        <v>12.9</v>
      </c>
      <c r="E33" s="79"/>
      <c r="F33" s="100">
        <f>IF(Inventory!$D$7="Other",11,11.2)</f>
        <v>11.2</v>
      </c>
      <c r="G33" s="100">
        <f>IF(Inventory!$D$7="Other",14.6,14.8)</f>
        <v>14.8</v>
      </c>
      <c r="H33" s="79"/>
    </row>
    <row r="34" spans="2:8" x14ac:dyDescent="0.25">
      <c r="B34" s="38" t="s">
        <v>59</v>
      </c>
      <c r="C34" s="100">
        <f>IF(Inventory!$D$7="Other",10.8,11)</f>
        <v>11</v>
      </c>
      <c r="D34" s="100">
        <f>IF(Inventory!$D$7="Other",11,12.4)</f>
        <v>12.4</v>
      </c>
      <c r="E34" s="79"/>
      <c r="F34" s="100">
        <f>IF(Inventory!$D$7="Other",10.8,11)</f>
        <v>11</v>
      </c>
      <c r="G34" s="100">
        <f>IF(Inventory!$D$7="Other",14,14.2)</f>
        <v>14.2</v>
      </c>
      <c r="H34" s="79"/>
    </row>
    <row r="35" spans="2:8" x14ac:dyDescent="0.25">
      <c r="B35" s="38" t="s">
        <v>60</v>
      </c>
      <c r="C35" s="100">
        <f>IF(Inventory!$D$7="Other",9.8,10)</f>
        <v>10</v>
      </c>
      <c r="D35" s="100">
        <f>IF(Inventory!$D$7="Other",11.4,11.6)</f>
        <v>11.6</v>
      </c>
      <c r="E35" s="79"/>
      <c r="F35" s="100">
        <f>IF(Inventory!$D$7="Other",9.8,10)</f>
        <v>10</v>
      </c>
      <c r="G35" s="100">
        <f>IF(Inventory!$D$7="Other",13,13.2)</f>
        <v>13.2</v>
      </c>
      <c r="H35" s="79"/>
    </row>
    <row r="36" spans="2:8" x14ac:dyDescent="0.25">
      <c r="B36" s="38" t="s">
        <v>57</v>
      </c>
      <c r="C36" s="100">
        <f>IF(Inventory!$D$7="Other",9.5,9.7)</f>
        <v>9.6999999999999993</v>
      </c>
      <c r="D36" s="100">
        <f>IF(Inventory!$D$7="Other",11,11.2)</f>
        <v>11.2</v>
      </c>
      <c r="E36" s="79"/>
      <c r="F36" s="100">
        <f>IF(Inventory!$D$7="Other",9.5,9.7)</f>
        <v>9.6999999999999993</v>
      </c>
      <c r="G36" s="100">
        <f>IF(Inventory!$D$7="Other",12.3,12.5)</f>
        <v>12.5</v>
      </c>
      <c r="H36" s="79"/>
    </row>
    <row r="38" spans="2:8" x14ac:dyDescent="0.25">
      <c r="B38" s="24" t="s">
        <v>146</v>
      </c>
    </row>
    <row r="39" spans="2:8" x14ac:dyDescent="0.25">
      <c r="B39" s="139" t="s">
        <v>47</v>
      </c>
      <c r="C39" s="139" t="s">
        <v>136</v>
      </c>
      <c r="D39" s="139"/>
      <c r="E39" s="139"/>
      <c r="F39" s="139" t="s">
        <v>161</v>
      </c>
      <c r="G39" s="139"/>
      <c r="H39" s="139"/>
    </row>
    <row r="40" spans="2:8" x14ac:dyDescent="0.25">
      <c r="B40" s="139"/>
      <c r="C40" s="83" t="s">
        <v>56</v>
      </c>
      <c r="D40" s="84" t="s">
        <v>71</v>
      </c>
      <c r="E40" s="84" t="s">
        <v>90</v>
      </c>
      <c r="F40" s="83" t="s">
        <v>56</v>
      </c>
      <c r="G40" s="84" t="s">
        <v>163</v>
      </c>
      <c r="H40" s="84" t="s">
        <v>162</v>
      </c>
    </row>
    <row r="41" spans="2:8" x14ac:dyDescent="0.25">
      <c r="B41" s="38" t="s">
        <v>143</v>
      </c>
      <c r="C41" s="101">
        <f>-0.02*D41^2+1.12*D41</f>
        <v>11.760000000000002</v>
      </c>
      <c r="D41" s="100">
        <v>14</v>
      </c>
      <c r="E41" s="100">
        <v>8.1999999999999993</v>
      </c>
      <c r="F41" s="99">
        <v>11.926</v>
      </c>
      <c r="G41" s="100">
        <v>14.3</v>
      </c>
      <c r="H41" s="100">
        <v>7.5</v>
      </c>
    </row>
    <row r="42" spans="2:8" x14ac:dyDescent="0.25">
      <c r="B42" s="38" t="s">
        <v>142</v>
      </c>
      <c r="C42" s="101">
        <f>-0.02*D42^2+1.12*D42</f>
        <v>11.760000000000002</v>
      </c>
      <c r="D42" s="100">
        <v>14</v>
      </c>
      <c r="E42" s="100">
        <v>8</v>
      </c>
      <c r="F42" s="99">
        <v>11.417</v>
      </c>
      <c r="G42" s="100">
        <v>13.4</v>
      </c>
      <c r="H42" s="100">
        <v>6.7</v>
      </c>
    </row>
    <row r="43" spans="2:8" x14ac:dyDescent="0.25">
      <c r="B43" s="38" t="s">
        <v>58</v>
      </c>
      <c r="C43" s="100">
        <f>IF(Inventory!$D$7="Other",10.8,11)</f>
        <v>11</v>
      </c>
      <c r="D43" s="100">
        <f>IF(Inventory!$D$7="Other",12,12.2)</f>
        <v>12.2</v>
      </c>
      <c r="E43" s="100">
        <v>3.3</v>
      </c>
      <c r="F43" s="100">
        <f>IF(Inventory!$D$7="Other",10.8,11)</f>
        <v>11</v>
      </c>
      <c r="G43" s="100">
        <f>IF(Inventory!$D$7="Other",13.9,14.1)</f>
        <v>14.1</v>
      </c>
      <c r="H43" s="100">
        <v>3.4</v>
      </c>
    </row>
    <row r="44" spans="2:8" x14ac:dyDescent="0.25">
      <c r="B44" s="38" t="s">
        <v>59</v>
      </c>
      <c r="C44" s="100">
        <f>IF(Inventory!$D$7="Other",10.4,10.6)</f>
        <v>10.6</v>
      </c>
      <c r="D44" s="100">
        <f>IF(Inventory!$D$7="Other",11.4,11.6)</f>
        <v>11.6</v>
      </c>
      <c r="E44" s="100">
        <v>3.2</v>
      </c>
      <c r="F44" s="100">
        <f>IF(Inventory!$D$7="Other",10.4,10.6)</f>
        <v>10.6</v>
      </c>
      <c r="G44" s="100">
        <f>IF(Inventory!$D$7="Other",13.3,13.5)</f>
        <v>13.5</v>
      </c>
      <c r="H44" s="100">
        <v>3.3</v>
      </c>
    </row>
    <row r="45" spans="2:8" x14ac:dyDescent="0.25">
      <c r="B45" s="38" t="s">
        <v>60</v>
      </c>
      <c r="C45" s="100">
        <f>IF(Inventory!$D$7="Other",9.3,9.5)</f>
        <v>9.5</v>
      </c>
      <c r="D45" s="100">
        <f>IF(Inventory!$D$7="Other",10.4,10.6)</f>
        <v>10.6</v>
      </c>
      <c r="E45" s="100">
        <v>3.2</v>
      </c>
      <c r="F45" s="100">
        <f>IF(Inventory!$D$7="Other",9.3,9.5)</f>
        <v>9.5</v>
      </c>
      <c r="G45" s="100">
        <f>IF(Inventory!$D$7="Other",12.3,12.5)</f>
        <v>12.5</v>
      </c>
      <c r="H45" s="100">
        <v>3.2</v>
      </c>
    </row>
    <row r="46" spans="2:8" x14ac:dyDescent="0.25">
      <c r="B46" s="38" t="s">
        <v>57</v>
      </c>
      <c r="C46" s="100">
        <f>IF(Inventory!$D$7="Other",9.3,9.5)</f>
        <v>9.5</v>
      </c>
      <c r="D46" s="100">
        <f>IF(Inventory!$D$7="Other",10.4,10.6)</f>
        <v>10.6</v>
      </c>
      <c r="E46" s="100">
        <v>3.2</v>
      </c>
      <c r="F46" s="100">
        <f>IF(Inventory!$D$7="Other",9.3,9.5)</f>
        <v>9.5</v>
      </c>
      <c r="G46" s="100">
        <f>IF(Inventory!$D$7="Other",12.3,12.5)</f>
        <v>12.5</v>
      </c>
      <c r="H46" s="100">
        <v>3.2</v>
      </c>
    </row>
    <row r="48" spans="2:8" x14ac:dyDescent="0.25">
      <c r="B48" s="24" t="s">
        <v>145</v>
      </c>
    </row>
    <row r="49" spans="2:11" x14ac:dyDescent="0.25">
      <c r="B49" s="139" t="s">
        <v>47</v>
      </c>
      <c r="C49" s="139" t="s">
        <v>136</v>
      </c>
      <c r="D49" s="139"/>
      <c r="E49" s="139"/>
      <c r="F49" s="139"/>
      <c r="G49" s="139" t="s">
        <v>161</v>
      </c>
      <c r="H49" s="139"/>
      <c r="I49" s="139"/>
      <c r="J49" s="139"/>
      <c r="K49" s="63"/>
    </row>
    <row r="50" spans="2:11" x14ac:dyDescent="0.25">
      <c r="B50" s="139"/>
      <c r="C50" s="144" t="s">
        <v>76</v>
      </c>
      <c r="D50" s="145"/>
      <c r="E50" s="146" t="s">
        <v>77</v>
      </c>
      <c r="F50" s="145"/>
      <c r="G50" s="144" t="s">
        <v>76</v>
      </c>
      <c r="H50" s="145"/>
      <c r="I50" s="146" t="s">
        <v>77</v>
      </c>
      <c r="J50" s="145"/>
      <c r="K50" s="63"/>
    </row>
    <row r="51" spans="2:11" x14ac:dyDescent="0.25">
      <c r="B51" s="139"/>
      <c r="C51" s="83" t="s">
        <v>56</v>
      </c>
      <c r="D51" s="84" t="s">
        <v>62</v>
      </c>
      <c r="E51" s="84" t="s">
        <v>56</v>
      </c>
      <c r="F51" s="84" t="s">
        <v>62</v>
      </c>
      <c r="G51" s="83" t="s">
        <v>56</v>
      </c>
      <c r="H51" s="84" t="s">
        <v>62</v>
      </c>
      <c r="I51" s="84" t="s">
        <v>56</v>
      </c>
      <c r="J51" s="84" t="s">
        <v>62</v>
      </c>
      <c r="K51" s="63"/>
    </row>
    <row r="52" spans="2:11" x14ac:dyDescent="0.25">
      <c r="B52" s="38" t="s">
        <v>63</v>
      </c>
      <c r="C52" s="99">
        <v>10.1</v>
      </c>
      <c r="D52" s="99">
        <v>13.7</v>
      </c>
      <c r="E52" s="99">
        <v>9.6999999999999993</v>
      </c>
      <c r="F52" s="99">
        <v>15.8</v>
      </c>
      <c r="G52" s="99">
        <v>10.1</v>
      </c>
      <c r="H52" s="99">
        <v>13.7</v>
      </c>
      <c r="I52" s="99">
        <v>9.6999999999999993</v>
      </c>
      <c r="J52" s="99">
        <v>15.8</v>
      </c>
      <c r="K52" s="64"/>
    </row>
    <row r="53" spans="2:11" x14ac:dyDescent="0.25">
      <c r="B53" s="38" t="s">
        <v>64</v>
      </c>
      <c r="C53" s="99">
        <v>10.1</v>
      </c>
      <c r="D53" s="99">
        <v>14</v>
      </c>
      <c r="E53" s="99">
        <v>9.6999999999999993</v>
      </c>
      <c r="F53" s="99">
        <v>16.100000000000001</v>
      </c>
      <c r="G53" s="99">
        <v>10.1</v>
      </c>
      <c r="H53" s="99">
        <v>14</v>
      </c>
      <c r="I53" s="99">
        <v>9.6999999999999993</v>
      </c>
      <c r="J53" s="99">
        <v>16.100000000000001</v>
      </c>
      <c r="K53" s="64"/>
    </row>
    <row r="54" spans="2:11" x14ac:dyDescent="0.25">
      <c r="B54" s="80"/>
      <c r="C54" s="64"/>
      <c r="D54" s="64"/>
      <c r="E54" s="64"/>
      <c r="F54" s="64"/>
      <c r="G54" s="64"/>
      <c r="H54" s="64"/>
      <c r="I54" s="64"/>
      <c r="J54" s="64"/>
      <c r="K54" s="64"/>
    </row>
    <row r="56" spans="2:11" x14ac:dyDescent="0.25">
      <c r="B56" s="24" t="s">
        <v>144</v>
      </c>
    </row>
    <row r="57" spans="2:11" x14ac:dyDescent="0.25">
      <c r="B57" s="139" t="s">
        <v>47</v>
      </c>
      <c r="C57" s="139" t="s">
        <v>61</v>
      </c>
      <c r="D57" s="139" t="s">
        <v>136</v>
      </c>
      <c r="E57" s="139"/>
      <c r="F57" s="139"/>
      <c r="G57" s="139"/>
      <c r="H57" s="139" t="s">
        <v>161</v>
      </c>
      <c r="I57" s="139"/>
      <c r="J57" s="139"/>
      <c r="K57" s="139"/>
    </row>
    <row r="58" spans="2:11" x14ac:dyDescent="0.25">
      <c r="B58" s="139"/>
      <c r="C58" s="139"/>
      <c r="D58" s="146" t="s">
        <v>76</v>
      </c>
      <c r="E58" s="145"/>
      <c r="F58" s="146" t="s">
        <v>77</v>
      </c>
      <c r="G58" s="145"/>
      <c r="H58" s="146" t="s">
        <v>76</v>
      </c>
      <c r="I58" s="145"/>
      <c r="J58" s="146" t="s">
        <v>77</v>
      </c>
      <c r="K58" s="145"/>
    </row>
    <row r="59" spans="2:11" x14ac:dyDescent="0.25">
      <c r="B59" s="139"/>
      <c r="C59" s="139"/>
      <c r="D59" s="84" t="s">
        <v>66</v>
      </c>
      <c r="E59" s="84" t="s">
        <v>62</v>
      </c>
      <c r="F59" s="84" t="s">
        <v>66</v>
      </c>
      <c r="G59" s="84" t="s">
        <v>62</v>
      </c>
      <c r="H59" s="84" t="s">
        <v>66</v>
      </c>
      <c r="I59" s="84" t="s">
        <v>62</v>
      </c>
      <c r="J59" s="84" t="s">
        <v>66</v>
      </c>
      <c r="K59" s="84" t="s">
        <v>62</v>
      </c>
    </row>
    <row r="60" spans="2:11" ht="15" customHeight="1" x14ac:dyDescent="0.25">
      <c r="B60" s="38" t="s">
        <v>65</v>
      </c>
      <c r="C60" s="140" t="s">
        <v>148</v>
      </c>
      <c r="D60" s="99">
        <v>0.75</v>
      </c>
      <c r="E60" s="99">
        <v>0.6</v>
      </c>
      <c r="F60" s="99">
        <v>0.78</v>
      </c>
      <c r="G60" s="99">
        <v>0.5</v>
      </c>
      <c r="H60" s="99">
        <v>0.75</v>
      </c>
      <c r="I60" s="99">
        <v>0.6</v>
      </c>
      <c r="J60" s="99">
        <v>0.78</v>
      </c>
      <c r="K60" s="99">
        <v>0.5</v>
      </c>
    </row>
    <row r="61" spans="2:11" x14ac:dyDescent="0.25">
      <c r="B61" s="38" t="s">
        <v>72</v>
      </c>
      <c r="C61" s="141"/>
      <c r="D61" s="99">
        <v>0.72</v>
      </c>
      <c r="E61" s="99">
        <v>0.56000000000000005</v>
      </c>
      <c r="F61" s="99">
        <v>0.75</v>
      </c>
      <c r="G61" s="99">
        <v>0.49</v>
      </c>
      <c r="H61" s="99">
        <v>0.72</v>
      </c>
      <c r="I61" s="99">
        <v>0.56000000000000005</v>
      </c>
      <c r="J61" s="99">
        <v>0.75</v>
      </c>
      <c r="K61" s="99">
        <v>0.49</v>
      </c>
    </row>
    <row r="62" spans="2:11" x14ac:dyDescent="0.25">
      <c r="B62" s="38" t="s">
        <v>73</v>
      </c>
      <c r="C62" s="141"/>
      <c r="D62" s="99">
        <v>0.66</v>
      </c>
      <c r="E62" s="99">
        <v>0.54</v>
      </c>
      <c r="F62" s="99">
        <v>0.68</v>
      </c>
      <c r="G62" s="99">
        <v>0.44</v>
      </c>
      <c r="H62" s="99">
        <v>0.66</v>
      </c>
      <c r="I62" s="99">
        <v>0.54</v>
      </c>
      <c r="J62" s="99">
        <v>0.68</v>
      </c>
      <c r="K62" s="99">
        <v>0.44</v>
      </c>
    </row>
    <row r="63" spans="2:11" x14ac:dyDescent="0.25">
      <c r="B63" s="38" t="s">
        <v>74</v>
      </c>
      <c r="C63" s="141"/>
      <c r="D63" s="99">
        <v>0.61</v>
      </c>
      <c r="E63" s="99">
        <v>0.52</v>
      </c>
      <c r="F63" s="99">
        <v>0.625</v>
      </c>
      <c r="G63" s="99">
        <v>0.41</v>
      </c>
      <c r="H63" s="99">
        <v>0.61</v>
      </c>
      <c r="I63" s="99">
        <v>0.52</v>
      </c>
      <c r="J63" s="99">
        <v>0.625</v>
      </c>
      <c r="K63" s="99">
        <v>0.41</v>
      </c>
    </row>
    <row r="64" spans="2:11" x14ac:dyDescent="0.25">
      <c r="B64" s="38" t="s">
        <v>75</v>
      </c>
      <c r="C64" s="142"/>
      <c r="D64" s="99">
        <v>0.56000000000000005</v>
      </c>
      <c r="E64" s="99">
        <v>0.5</v>
      </c>
      <c r="F64" s="99">
        <v>0.58499999999999996</v>
      </c>
      <c r="G64" s="99">
        <v>0.38</v>
      </c>
      <c r="H64" s="99">
        <v>0.56000000000000005</v>
      </c>
      <c r="I64" s="99">
        <v>0.5</v>
      </c>
      <c r="J64" s="99">
        <v>0.58499999999999996</v>
      </c>
      <c r="K64" s="99">
        <v>0.38</v>
      </c>
    </row>
    <row r="65" spans="2:11" x14ac:dyDescent="0.25">
      <c r="B65" s="62" t="s">
        <v>47</v>
      </c>
      <c r="C65" s="62" t="s">
        <v>61</v>
      </c>
      <c r="D65" s="62" t="s">
        <v>66</v>
      </c>
      <c r="E65" s="62" t="s">
        <v>62</v>
      </c>
      <c r="F65" s="62" t="s">
        <v>66</v>
      </c>
      <c r="G65" s="62" t="s">
        <v>62</v>
      </c>
      <c r="H65" s="62" t="s">
        <v>66</v>
      </c>
      <c r="I65" s="62" t="s">
        <v>62</v>
      </c>
      <c r="J65" s="62" t="s">
        <v>66</v>
      </c>
      <c r="K65" s="62" t="s">
        <v>62</v>
      </c>
    </row>
    <row r="66" spans="2:11" x14ac:dyDescent="0.25">
      <c r="B66" s="38" t="s">
        <v>63</v>
      </c>
      <c r="C66" s="143" t="s">
        <v>52</v>
      </c>
      <c r="D66" s="99">
        <v>0.61</v>
      </c>
      <c r="E66" s="99">
        <v>0.55000000000000004</v>
      </c>
      <c r="F66" s="99">
        <v>0.69499999999999995</v>
      </c>
      <c r="G66" s="99">
        <v>0.44</v>
      </c>
      <c r="H66" s="99">
        <v>0.61</v>
      </c>
      <c r="I66" s="99">
        <v>0.55000000000000004</v>
      </c>
      <c r="J66" s="99">
        <v>0.69499999999999995</v>
      </c>
      <c r="K66" s="99">
        <v>0.44</v>
      </c>
    </row>
    <row r="67" spans="2:11" x14ac:dyDescent="0.25">
      <c r="B67" s="38" t="s">
        <v>73</v>
      </c>
      <c r="C67" s="141"/>
      <c r="D67" s="99">
        <v>0.61</v>
      </c>
      <c r="E67" s="99">
        <v>0.55000000000000004</v>
      </c>
      <c r="F67" s="99">
        <v>0.63500000000000001</v>
      </c>
      <c r="G67" s="99">
        <v>0.4</v>
      </c>
      <c r="H67" s="99">
        <v>0.61</v>
      </c>
      <c r="I67" s="99">
        <v>0.55000000000000004</v>
      </c>
      <c r="J67" s="99">
        <v>0.63500000000000001</v>
      </c>
      <c r="K67" s="99">
        <v>0.4</v>
      </c>
    </row>
    <row r="68" spans="2:11" x14ac:dyDescent="0.25">
      <c r="B68" s="38" t="s">
        <v>149</v>
      </c>
      <c r="C68" s="141"/>
      <c r="D68" s="99">
        <v>0.56000000000000005</v>
      </c>
      <c r="E68" s="99">
        <v>0.52</v>
      </c>
      <c r="F68" s="99">
        <v>0.59499999999999997</v>
      </c>
      <c r="G68" s="99">
        <v>0.39</v>
      </c>
      <c r="H68" s="99">
        <v>0.56000000000000005</v>
      </c>
      <c r="I68" s="99">
        <v>0.52</v>
      </c>
      <c r="J68" s="99">
        <v>0.59499999999999997</v>
      </c>
      <c r="K68" s="99">
        <v>0.39</v>
      </c>
    </row>
    <row r="69" spans="2:11" x14ac:dyDescent="0.25">
      <c r="B69" s="38" t="s">
        <v>150</v>
      </c>
      <c r="C69" s="141"/>
      <c r="D69" s="99">
        <v>0.56000000000000005</v>
      </c>
      <c r="E69" s="99">
        <v>0.5</v>
      </c>
      <c r="F69" s="99">
        <v>0.58499999999999996</v>
      </c>
      <c r="G69" s="99">
        <v>0.38</v>
      </c>
      <c r="H69" s="99">
        <v>0.56000000000000005</v>
      </c>
      <c r="I69" s="99">
        <v>0.5</v>
      </c>
      <c r="J69" s="99">
        <v>0.58499999999999996</v>
      </c>
      <c r="K69" s="99">
        <v>0.38</v>
      </c>
    </row>
    <row r="70" spans="2:11" x14ac:dyDescent="0.25">
      <c r="B70" s="38" t="s">
        <v>75</v>
      </c>
      <c r="C70" s="142"/>
      <c r="D70" s="99">
        <v>0.56000000000000005</v>
      </c>
      <c r="E70" s="99">
        <v>0.5</v>
      </c>
      <c r="F70" s="99">
        <v>0.58499999999999996</v>
      </c>
      <c r="G70" s="99">
        <v>0.38</v>
      </c>
      <c r="H70" s="99">
        <v>0.56000000000000005</v>
      </c>
      <c r="I70" s="99">
        <v>0.5</v>
      </c>
      <c r="J70" s="99">
        <v>0.58499999999999996</v>
      </c>
      <c r="K70" s="99">
        <v>0.38</v>
      </c>
    </row>
    <row r="72" spans="2:11" hidden="1" x14ac:dyDescent="0.25">
      <c r="B72" s="50" t="s">
        <v>147</v>
      </c>
      <c r="C72" s="49"/>
      <c r="D72" s="49"/>
      <c r="E72" s="49"/>
      <c r="F72" s="49"/>
      <c r="G72" s="49"/>
    </row>
    <row r="73" spans="2:11" hidden="1" x14ac:dyDescent="0.25">
      <c r="B73" s="65" t="s">
        <v>47</v>
      </c>
      <c r="C73" s="65" t="s">
        <v>56</v>
      </c>
      <c r="D73" s="65" t="s">
        <v>71</v>
      </c>
      <c r="E73" s="65" t="s">
        <v>90</v>
      </c>
      <c r="F73" s="49"/>
      <c r="G73" s="49"/>
    </row>
    <row r="74" spans="2:11" hidden="1" x14ac:dyDescent="0.25">
      <c r="B74" s="66">
        <v>1</v>
      </c>
      <c r="C74" s="55">
        <f>IF(Inventory!$D$4="Before 7/31/2024",C31,F31)</f>
        <v>11.417</v>
      </c>
      <c r="D74" s="55">
        <f>IF(Inventory!$D$4="Before 7/31/2024",D31,G31)</f>
        <v>13.4</v>
      </c>
      <c r="E74" s="55">
        <f>IF(Inventory!$D$4="Before 7/31/2024",E31,H31)</f>
        <v>0</v>
      </c>
      <c r="F74" s="49"/>
      <c r="G74" s="49"/>
    </row>
    <row r="75" spans="2:11" hidden="1" x14ac:dyDescent="0.25">
      <c r="B75" s="66">
        <v>2</v>
      </c>
      <c r="C75" s="55">
        <f>IF(Inventory!$D$4="Before 7/31/2024",C32,F32)</f>
        <v>11.417</v>
      </c>
      <c r="D75" s="55">
        <f>IF(Inventory!$D$4="Before 7/31/2024",D32,G32)</f>
        <v>13.4</v>
      </c>
      <c r="E75" s="55">
        <f>IF(Inventory!$D$4="Before 7/31/2024",E32,H32)</f>
        <v>0</v>
      </c>
      <c r="F75" s="49"/>
      <c r="G75" s="49"/>
    </row>
    <row r="76" spans="2:11" hidden="1" x14ac:dyDescent="0.25">
      <c r="B76" s="66">
        <v>3</v>
      </c>
      <c r="C76" s="55">
        <f>IF(Inventory!$D$4="Before 7/31/2024",C33,F33)</f>
        <v>11.2</v>
      </c>
      <c r="D76" s="55">
        <f>IF(Inventory!$D$4="Before 7/31/2024",D33,G33)</f>
        <v>14.8</v>
      </c>
      <c r="E76" s="55">
        <f>IF(Inventory!$D$4="Before 7/31/2024",E33,H33)</f>
        <v>0</v>
      </c>
      <c r="F76" s="49"/>
      <c r="G76" s="49"/>
    </row>
    <row r="77" spans="2:11" hidden="1" x14ac:dyDescent="0.25">
      <c r="B77" s="66">
        <v>4</v>
      </c>
      <c r="C77" s="55">
        <f>IF(Inventory!$D$4="Before 7/31/2024",C34,F34)</f>
        <v>11</v>
      </c>
      <c r="D77" s="55">
        <f>IF(Inventory!$D$4="Before 7/31/2024",D34,G34)</f>
        <v>14.2</v>
      </c>
      <c r="E77" s="55">
        <f>IF(Inventory!$D$4="Before 7/31/2024",E34,H34)</f>
        <v>0</v>
      </c>
      <c r="F77" s="49"/>
      <c r="G77" s="49"/>
    </row>
    <row r="78" spans="2:11" hidden="1" x14ac:dyDescent="0.25">
      <c r="B78" s="66">
        <v>5</v>
      </c>
      <c r="C78" s="55">
        <f>IF(Inventory!$D$4="Before 7/31/2024",C35,F35)</f>
        <v>10</v>
      </c>
      <c r="D78" s="55">
        <f>IF(Inventory!$D$4="Before 7/31/2024",D35,G35)</f>
        <v>13.2</v>
      </c>
      <c r="E78" s="55">
        <f>IF(Inventory!$D$4="Before 7/31/2024",E35,H35)</f>
        <v>0</v>
      </c>
      <c r="F78" s="49"/>
      <c r="G78" s="49"/>
    </row>
    <row r="79" spans="2:11" hidden="1" x14ac:dyDescent="0.25">
      <c r="B79" s="66">
        <v>6</v>
      </c>
      <c r="C79" s="55">
        <f>IF(Inventory!$D$4="Before 7/31/2024",C36,F36)</f>
        <v>9.6999999999999993</v>
      </c>
      <c r="D79" s="55">
        <f>IF(Inventory!$D$4="Before 7/31/2024",D36,G36)</f>
        <v>12.5</v>
      </c>
      <c r="E79" s="55">
        <f>IF(Inventory!$D$4="Before 7/31/2024",E36,H36)</f>
        <v>0</v>
      </c>
      <c r="F79" s="49"/>
      <c r="G79" s="49"/>
    </row>
    <row r="80" spans="2:11" hidden="1" x14ac:dyDescent="0.25">
      <c r="B80" s="51"/>
      <c r="C80" s="68"/>
      <c r="D80" s="68"/>
      <c r="E80" s="68"/>
      <c r="F80" s="49"/>
      <c r="G80" s="49"/>
    </row>
    <row r="81" spans="2:7" hidden="1" x14ac:dyDescent="0.25">
      <c r="B81" s="50" t="s">
        <v>146</v>
      </c>
      <c r="C81" s="49"/>
      <c r="D81" s="49"/>
      <c r="E81" s="49"/>
      <c r="F81" s="49"/>
      <c r="G81" s="49"/>
    </row>
    <row r="82" spans="2:7" hidden="1" x14ac:dyDescent="0.25">
      <c r="B82" s="65" t="s">
        <v>47</v>
      </c>
      <c r="C82" s="65" t="s">
        <v>56</v>
      </c>
      <c r="D82" s="65" t="s">
        <v>71</v>
      </c>
      <c r="E82" s="65" t="s">
        <v>90</v>
      </c>
      <c r="F82" s="49"/>
      <c r="G82" s="49"/>
    </row>
    <row r="83" spans="2:7" hidden="1" x14ac:dyDescent="0.25">
      <c r="B83" s="66">
        <v>1</v>
      </c>
      <c r="C83" s="55">
        <f>IF(Inventory!$D$4="Before 7/31/2024",C41,F41)</f>
        <v>11.926</v>
      </c>
      <c r="D83" s="55">
        <f>IF(Inventory!$D$4="Before 7/31/2024",D41,G41)</f>
        <v>14.3</v>
      </c>
      <c r="E83" s="55">
        <f>IF(Inventory!$D$4="Before 7/31/2024",E41,H41)</f>
        <v>7.5</v>
      </c>
      <c r="F83" s="49"/>
      <c r="G83" s="49"/>
    </row>
    <row r="84" spans="2:7" hidden="1" x14ac:dyDescent="0.25">
      <c r="B84" s="66">
        <v>2</v>
      </c>
      <c r="C84" s="55">
        <f>IF(Inventory!$D$4="Before 7/31/2024",C42,F42)</f>
        <v>11.417</v>
      </c>
      <c r="D84" s="55">
        <f>IF(Inventory!$D$4="Before 7/31/2024",D42,G42)</f>
        <v>13.4</v>
      </c>
      <c r="E84" s="55">
        <f>IF(Inventory!$D$4="Before 7/31/2024",E42,H42)</f>
        <v>6.7</v>
      </c>
      <c r="F84" s="49"/>
      <c r="G84" s="49"/>
    </row>
    <row r="85" spans="2:7" hidden="1" x14ac:dyDescent="0.25">
      <c r="B85" s="66">
        <v>3</v>
      </c>
      <c r="C85" s="55">
        <f>IF(Inventory!$D$4="Before 7/31/2024",C43,F43)</f>
        <v>11</v>
      </c>
      <c r="D85" s="55">
        <f>IF(Inventory!$D$4="Before 7/31/2024",D43,G43)</f>
        <v>14.1</v>
      </c>
      <c r="E85" s="55">
        <f>IF(Inventory!$D$4="Before 7/31/2024",E43,H43)</f>
        <v>3.4</v>
      </c>
      <c r="F85" s="49"/>
      <c r="G85" s="49"/>
    </row>
    <row r="86" spans="2:7" hidden="1" x14ac:dyDescent="0.25">
      <c r="B86" s="66">
        <v>4</v>
      </c>
      <c r="C86" s="55">
        <f>IF(Inventory!$D$4="Before 7/31/2024",C44,F44)</f>
        <v>10.6</v>
      </c>
      <c r="D86" s="55">
        <f>IF(Inventory!$D$4="Before 7/31/2024",D44,G44)</f>
        <v>13.5</v>
      </c>
      <c r="E86" s="55">
        <f>IF(Inventory!$D$4="Before 7/31/2024",E44,H44)</f>
        <v>3.3</v>
      </c>
      <c r="F86" s="49"/>
      <c r="G86" s="49"/>
    </row>
    <row r="87" spans="2:7" hidden="1" x14ac:dyDescent="0.25">
      <c r="B87" s="66">
        <v>5</v>
      </c>
      <c r="C87" s="55">
        <f>IF(Inventory!$D$4="Before 7/31/2024",C45,F45)</f>
        <v>9.5</v>
      </c>
      <c r="D87" s="55">
        <f>IF(Inventory!$D$4="Before 7/31/2024",D45,G45)</f>
        <v>12.5</v>
      </c>
      <c r="E87" s="55">
        <f>IF(Inventory!$D$4="Before 7/31/2024",E45,H45)</f>
        <v>3.2</v>
      </c>
      <c r="F87" s="49"/>
      <c r="G87" s="49"/>
    </row>
    <row r="88" spans="2:7" hidden="1" x14ac:dyDescent="0.25">
      <c r="B88" s="66">
        <v>6</v>
      </c>
      <c r="C88" s="55">
        <f>IF(Inventory!$D$4="Before 7/31/2024",C46,F46)</f>
        <v>9.5</v>
      </c>
      <c r="D88" s="55">
        <f>IF(Inventory!$D$4="Before 7/31/2024",D46,G46)</f>
        <v>12.5</v>
      </c>
      <c r="E88" s="55">
        <f>IF(Inventory!$D$4="Before 7/31/2024",E46,H46)</f>
        <v>3.2</v>
      </c>
      <c r="F88" s="49"/>
      <c r="G88" s="49"/>
    </row>
    <row r="89" spans="2:7" hidden="1" x14ac:dyDescent="0.25">
      <c r="B89" s="49"/>
      <c r="C89" s="49"/>
      <c r="D89" s="49"/>
      <c r="E89" s="49"/>
      <c r="F89" s="49"/>
      <c r="G89" s="49"/>
    </row>
    <row r="90" spans="2:7" hidden="1" x14ac:dyDescent="0.25">
      <c r="B90" s="50" t="s">
        <v>145</v>
      </c>
      <c r="C90" s="137" t="s">
        <v>76</v>
      </c>
      <c r="D90" s="138"/>
      <c r="E90" s="137" t="s">
        <v>77</v>
      </c>
      <c r="F90" s="138"/>
      <c r="G90" s="67"/>
    </row>
    <row r="91" spans="2:7" hidden="1" x14ac:dyDescent="0.25">
      <c r="B91" s="65" t="s">
        <v>47</v>
      </c>
      <c r="C91" s="65" t="s">
        <v>56</v>
      </c>
      <c r="D91" s="65" t="s">
        <v>62</v>
      </c>
      <c r="E91" s="65" t="s">
        <v>56</v>
      </c>
      <c r="F91" s="65" t="s">
        <v>62</v>
      </c>
      <c r="G91" s="67"/>
    </row>
    <row r="92" spans="2:7" hidden="1" x14ac:dyDescent="0.25">
      <c r="B92" s="66">
        <v>1</v>
      </c>
      <c r="C92" s="55">
        <f>IF(Inventory!$D$4="Before 7/31/2024",C52,G52)</f>
        <v>10.1</v>
      </c>
      <c r="D92" s="55">
        <f>IF(Inventory!$D$4="Before 7/31/2024",D52,H52)</f>
        <v>13.7</v>
      </c>
      <c r="E92" s="55">
        <f>IF(Inventory!$D$4="Before 7/31/2024",E52,I52)</f>
        <v>9.6999999999999993</v>
      </c>
      <c r="F92" s="55">
        <f>IF(Inventory!$D$4="Before 7/31/2024",F52,J52)</f>
        <v>15.8</v>
      </c>
      <c r="G92" s="68"/>
    </row>
    <row r="93" spans="2:7" hidden="1" x14ac:dyDescent="0.25">
      <c r="B93" s="66">
        <v>2</v>
      </c>
      <c r="C93" s="55">
        <f>IF(Inventory!$D$4="Before 7/31/2024",C53,G53)</f>
        <v>10.1</v>
      </c>
      <c r="D93" s="55">
        <f>IF(Inventory!$D$4="Before 7/31/2024",D53,H53)</f>
        <v>14</v>
      </c>
      <c r="E93" s="55">
        <f>IF(Inventory!$D$4="Before 7/31/2024",E53,I53)</f>
        <v>9.6999999999999993</v>
      </c>
      <c r="F93" s="55">
        <f>IF(Inventory!$D$4="Before 7/31/2024",F53,J53)</f>
        <v>16.100000000000001</v>
      </c>
      <c r="G93" s="68"/>
    </row>
    <row r="94" spans="2:7" hidden="1" x14ac:dyDescent="0.25">
      <c r="B94" s="49"/>
      <c r="C94" s="49"/>
      <c r="D94" s="49"/>
      <c r="E94" s="49"/>
      <c r="F94" s="49"/>
      <c r="G94" s="49"/>
    </row>
    <row r="95" spans="2:7" hidden="1" x14ac:dyDescent="0.25">
      <c r="B95" s="50" t="s">
        <v>144</v>
      </c>
      <c r="C95" s="49"/>
      <c r="D95" s="69" t="s">
        <v>76</v>
      </c>
      <c r="E95" s="70"/>
      <c r="F95" s="69" t="s">
        <v>77</v>
      </c>
      <c r="G95" s="70"/>
    </row>
    <row r="96" spans="2:7" hidden="1" x14ac:dyDescent="0.25">
      <c r="B96" s="65" t="s">
        <v>47</v>
      </c>
      <c r="C96" s="65" t="s">
        <v>61</v>
      </c>
      <c r="D96" s="65" t="s">
        <v>66</v>
      </c>
      <c r="E96" s="65" t="s">
        <v>62</v>
      </c>
      <c r="F96" s="65" t="s">
        <v>66</v>
      </c>
      <c r="G96" s="65" t="s">
        <v>62</v>
      </c>
    </row>
    <row r="97" spans="2:7" ht="15" hidden="1" customHeight="1" x14ac:dyDescent="0.25">
      <c r="B97" s="66">
        <v>1</v>
      </c>
      <c r="C97" s="134" t="s">
        <v>148</v>
      </c>
      <c r="D97" s="55">
        <f>IF(Inventory!$D$4="Before 7/31/2024",D60,H60)</f>
        <v>0.75</v>
      </c>
      <c r="E97" s="55">
        <f>IF(Inventory!$D$4="Before 7/31/2024",E60,I60)</f>
        <v>0.6</v>
      </c>
      <c r="F97" s="55">
        <f>IF(Inventory!$D$4="Before 7/31/2024",F60,J60)</f>
        <v>0.78</v>
      </c>
      <c r="G97" s="55">
        <f>IF(Inventory!$D$4="Before 7/31/2024",G60,K60)</f>
        <v>0.5</v>
      </c>
    </row>
    <row r="98" spans="2:7" hidden="1" x14ac:dyDescent="0.25">
      <c r="B98" s="66">
        <v>2</v>
      </c>
      <c r="C98" s="135"/>
      <c r="D98" s="55">
        <f>IF(Inventory!$D$4="Before 7/31/2024",D61,H61)</f>
        <v>0.72</v>
      </c>
      <c r="E98" s="55">
        <f>IF(Inventory!$D$4="Before 7/31/2024",E61,I61)</f>
        <v>0.56000000000000005</v>
      </c>
      <c r="F98" s="55">
        <f>IF(Inventory!$D$4="Before 7/31/2024",F61,J61)</f>
        <v>0.75</v>
      </c>
      <c r="G98" s="55">
        <f>IF(Inventory!$D$4="Before 7/31/2024",G61,K61)</f>
        <v>0.49</v>
      </c>
    </row>
    <row r="99" spans="2:7" hidden="1" x14ac:dyDescent="0.25">
      <c r="B99" s="66">
        <v>3</v>
      </c>
      <c r="C99" s="135"/>
      <c r="D99" s="55">
        <f>IF(Inventory!$D$4="Before 7/31/2024",D62,H62)</f>
        <v>0.66</v>
      </c>
      <c r="E99" s="55">
        <f>IF(Inventory!$D$4="Before 7/31/2024",E62,I62)</f>
        <v>0.54</v>
      </c>
      <c r="F99" s="55">
        <f>IF(Inventory!$D$4="Before 7/31/2024",F62,J62)</f>
        <v>0.68</v>
      </c>
      <c r="G99" s="55">
        <f>IF(Inventory!$D$4="Before 7/31/2024",G62,K62)</f>
        <v>0.44</v>
      </c>
    </row>
    <row r="100" spans="2:7" hidden="1" x14ac:dyDescent="0.25">
      <c r="B100" s="66">
        <v>4</v>
      </c>
      <c r="C100" s="135"/>
      <c r="D100" s="55">
        <f>IF(Inventory!$D$4="Before 7/31/2024",D63,H63)</f>
        <v>0.61</v>
      </c>
      <c r="E100" s="55">
        <f>IF(Inventory!$D$4="Before 7/31/2024",E63,I63)</f>
        <v>0.52</v>
      </c>
      <c r="F100" s="55">
        <f>IF(Inventory!$D$4="Before 7/31/2024",F63,J63)</f>
        <v>0.625</v>
      </c>
      <c r="G100" s="55">
        <f>IF(Inventory!$D$4="Before 7/31/2024",G63,K63)</f>
        <v>0.41</v>
      </c>
    </row>
    <row r="101" spans="2:7" hidden="1" x14ac:dyDescent="0.25">
      <c r="B101" s="66">
        <v>5</v>
      </c>
      <c r="C101" s="135"/>
      <c r="D101" s="55">
        <f>IF(Inventory!$D$4="Before 7/31/2024",D63,H63)</f>
        <v>0.61</v>
      </c>
      <c r="E101" s="55">
        <f>IF(Inventory!$D$4="Before 7/31/2024",E63,I63)</f>
        <v>0.52</v>
      </c>
      <c r="F101" s="55">
        <f>IF(Inventory!$D$4="Before 7/31/2024",F63,J63)</f>
        <v>0.625</v>
      </c>
      <c r="G101" s="55">
        <f>IF(Inventory!$D$4="Before 7/31/2024",G63,K63)</f>
        <v>0.41</v>
      </c>
    </row>
    <row r="102" spans="2:7" hidden="1" x14ac:dyDescent="0.25">
      <c r="B102" s="66">
        <v>6</v>
      </c>
      <c r="C102" s="136"/>
      <c r="D102" s="55">
        <f>IF(Inventory!$D$4="Before 7/31/2024",D64,H64)</f>
        <v>0.56000000000000005</v>
      </c>
      <c r="E102" s="55">
        <f>IF(Inventory!$D$4="Before 7/31/2024",E64,I64)</f>
        <v>0.5</v>
      </c>
      <c r="F102" s="55">
        <f>IF(Inventory!$D$4="Before 7/31/2024",F64,J64)</f>
        <v>0.58499999999999996</v>
      </c>
      <c r="G102" s="55">
        <f>IF(Inventory!$D$4="Before 7/31/2024",G64,K64)</f>
        <v>0.38</v>
      </c>
    </row>
    <row r="103" spans="2:7" hidden="1" x14ac:dyDescent="0.25">
      <c r="B103" s="65" t="s">
        <v>47</v>
      </c>
      <c r="C103" s="65" t="s">
        <v>61</v>
      </c>
      <c r="D103" s="65" t="s">
        <v>66</v>
      </c>
      <c r="E103" s="65" t="s">
        <v>62</v>
      </c>
      <c r="F103" s="65" t="s">
        <v>66</v>
      </c>
      <c r="G103" s="65" t="s">
        <v>62</v>
      </c>
    </row>
    <row r="104" spans="2:7" hidden="1" x14ac:dyDescent="0.25">
      <c r="B104" s="66">
        <v>1</v>
      </c>
      <c r="C104" s="131" t="s">
        <v>52</v>
      </c>
      <c r="D104" s="55">
        <f>IF(Inventory!$D$4="Before 7/31/2024",D66,H66)</f>
        <v>0.61</v>
      </c>
      <c r="E104" s="55">
        <f>IF(Inventory!$D$4="Before 7/31/2024",E66,I66)</f>
        <v>0.55000000000000004</v>
      </c>
      <c r="F104" s="55">
        <f>IF(Inventory!$D$4="Before 7/31/2024",F66,J66)</f>
        <v>0.69499999999999995</v>
      </c>
      <c r="G104" s="55">
        <f>IF(Inventory!$D$4="Before 7/31/2024",G66,K66)</f>
        <v>0.44</v>
      </c>
    </row>
    <row r="105" spans="2:7" hidden="1" x14ac:dyDescent="0.25">
      <c r="B105" s="66">
        <v>2</v>
      </c>
      <c r="C105" s="132"/>
      <c r="D105" s="55">
        <f>IF(Inventory!$D$4="Before 7/31/2024",D66,H66)</f>
        <v>0.61</v>
      </c>
      <c r="E105" s="55">
        <f>IF(Inventory!$D$4="Before 7/31/2024",E66,I66)</f>
        <v>0.55000000000000004</v>
      </c>
      <c r="F105" s="55">
        <f>IF(Inventory!$D$4="Before 7/31/2024",F66,J66)</f>
        <v>0.69499999999999995</v>
      </c>
      <c r="G105" s="55">
        <f>IF(Inventory!$D$4="Before 7/31/2024",G66,K66)</f>
        <v>0.44</v>
      </c>
    </row>
    <row r="106" spans="2:7" hidden="1" x14ac:dyDescent="0.25">
      <c r="B106" s="66">
        <v>3</v>
      </c>
      <c r="C106" s="132"/>
      <c r="D106" s="55">
        <f>IF(Inventory!$D$4="Before 7/31/2024",D67,H67)</f>
        <v>0.61</v>
      </c>
      <c r="E106" s="55">
        <f>IF(Inventory!$D$4="Before 7/31/2024",E67,I67)</f>
        <v>0.55000000000000004</v>
      </c>
      <c r="F106" s="55">
        <f>IF(Inventory!$D$4="Before 7/31/2024",F67,J67)</f>
        <v>0.63500000000000001</v>
      </c>
      <c r="G106" s="55">
        <f>IF(Inventory!$D$4="Before 7/31/2024",G67,K67)</f>
        <v>0.4</v>
      </c>
    </row>
    <row r="107" spans="2:7" hidden="1" x14ac:dyDescent="0.25">
      <c r="B107" s="66">
        <v>4</v>
      </c>
      <c r="C107" s="132"/>
      <c r="D107" s="55">
        <f>IF(Inventory!$D$4="Before 7/31/2024",D68,H68)</f>
        <v>0.56000000000000005</v>
      </c>
      <c r="E107" s="55">
        <f>IF(Inventory!$D$4="Before 7/31/2024",E68,I68)</f>
        <v>0.52</v>
      </c>
      <c r="F107" s="55">
        <f>IF(Inventory!$D$4="Before 7/31/2024",F68,J68)</f>
        <v>0.59499999999999997</v>
      </c>
      <c r="G107" s="55">
        <f>IF(Inventory!$D$4="Before 7/31/2024",G68,K68)</f>
        <v>0.39</v>
      </c>
    </row>
    <row r="108" spans="2:7" hidden="1" x14ac:dyDescent="0.25">
      <c r="B108" s="66">
        <v>5</v>
      </c>
      <c r="C108" s="132"/>
      <c r="D108" s="55">
        <f>IF(Inventory!$D$4="Before 7/31/2024",D69,H69)</f>
        <v>0.56000000000000005</v>
      </c>
      <c r="E108" s="55">
        <f>IF(Inventory!$D$4="Before 7/31/2024",E69,I69)</f>
        <v>0.5</v>
      </c>
      <c r="F108" s="55">
        <f>IF(Inventory!$D$4="Before 7/31/2024",F69,J69)</f>
        <v>0.58499999999999996</v>
      </c>
      <c r="G108" s="55">
        <f>IF(Inventory!$D$4="Before 7/31/2024",G69,K69)</f>
        <v>0.38</v>
      </c>
    </row>
    <row r="109" spans="2:7" hidden="1" x14ac:dyDescent="0.25">
      <c r="B109" s="66">
        <v>6</v>
      </c>
      <c r="C109" s="133"/>
      <c r="D109" s="55">
        <f>IF(Inventory!$D$4="Before 7/31/2024",D70,H70)</f>
        <v>0.56000000000000005</v>
      </c>
      <c r="E109" s="55">
        <f>IF(Inventory!$D$4="Before 7/31/2024",E70,I70)</f>
        <v>0.5</v>
      </c>
      <c r="F109" s="55">
        <f>IF(Inventory!$D$4="Before 7/31/2024",F70,J70)</f>
        <v>0.58499999999999996</v>
      </c>
      <c r="G109" s="55">
        <f>IF(Inventory!$D$4="Before 7/31/2024",G70,K70)</f>
        <v>0.38</v>
      </c>
    </row>
    <row r="110" spans="2:7" hidden="1" x14ac:dyDescent="0.25"/>
  </sheetData>
  <sheetProtection algorithmName="SHA-512" hashValue="5wY0Z9gp5QPBCdcqh60LVl5X+ZbfduUDAysaQCJGC6xAQmpeQM3pFdhNXuJMkefVKc9I4MTWnP5K38x8cutU6g==" saltValue="WtH7IFVNDCNwrTa+QHgnkQ==" spinCount="100000" sheet="1" objects="1" scenarios="1"/>
  <mergeCells count="30">
    <mergeCell ref="I50:J50"/>
    <mergeCell ref="B57:B59"/>
    <mergeCell ref="C57:C59"/>
    <mergeCell ref="D57:G57"/>
    <mergeCell ref="H57:K57"/>
    <mergeCell ref="H58:I58"/>
    <mergeCell ref="J58:K58"/>
    <mergeCell ref="B2:B3"/>
    <mergeCell ref="C60:C64"/>
    <mergeCell ref="C66:C70"/>
    <mergeCell ref="G2:I2"/>
    <mergeCell ref="C50:D50"/>
    <mergeCell ref="E50:F50"/>
    <mergeCell ref="D58:E58"/>
    <mergeCell ref="F58:G58"/>
    <mergeCell ref="B29:B30"/>
    <mergeCell ref="C29:E29"/>
    <mergeCell ref="F29:H29"/>
    <mergeCell ref="B49:B51"/>
    <mergeCell ref="C49:F49"/>
    <mergeCell ref="G49:J49"/>
    <mergeCell ref="G50:H50"/>
    <mergeCell ref="B39:B40"/>
    <mergeCell ref="C104:C109"/>
    <mergeCell ref="C97:C102"/>
    <mergeCell ref="C90:D90"/>
    <mergeCell ref="E90:F90"/>
    <mergeCell ref="C2:F2"/>
    <mergeCell ref="C39:E39"/>
    <mergeCell ref="F39:H39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BFD3B6FA49D149A50CBEE50AA6A606" ma:contentTypeVersion="14" ma:contentTypeDescription="Create a new document." ma:contentTypeScope="" ma:versionID="97d009dcdad65fd67c1020f9a84fab8c">
  <xsd:schema xmlns:xsd="http://www.w3.org/2001/XMLSchema" xmlns:xs="http://www.w3.org/2001/XMLSchema" xmlns:p="http://schemas.microsoft.com/office/2006/metadata/properties" xmlns:ns2="9837650f-4e7f-463e-8c1d-d4d3a33576d1" xmlns:ns3="e22cd451-935e-461d-9eac-2877c110c691" targetNamespace="http://schemas.microsoft.com/office/2006/metadata/properties" ma:root="true" ma:fieldsID="5fcd282138a1040cb806a43d0b5c48ed" ns2:_="" ns3:_="">
    <xsd:import namespace="9837650f-4e7f-463e-8c1d-d4d3a33576d1"/>
    <xsd:import namespace="e22cd451-935e-461d-9eac-2877c110c6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37650f-4e7f-463e-8c1d-d4d3a33576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626392cd-2412-4e4b-807b-434ade0b29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2cd451-935e-461d-9eac-2877c110c69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cb7c3823-e93c-4d7b-93a3-2d416322b822}" ma:internalName="TaxCatchAll" ma:showField="CatchAllData" ma:web="e22cd451-935e-461d-9eac-2877c110c6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837650f-4e7f-463e-8c1d-d4d3a33576d1">
      <Terms xmlns="http://schemas.microsoft.com/office/infopath/2007/PartnerControls"/>
    </lcf76f155ced4ddcb4097134ff3c332f>
    <TaxCatchAll xmlns="e22cd451-935e-461d-9eac-2877c110c691" xsi:nil="true"/>
  </documentManagement>
</p:properties>
</file>

<file path=customXml/itemProps1.xml><?xml version="1.0" encoding="utf-8"?>
<ds:datastoreItem xmlns:ds="http://schemas.openxmlformats.org/officeDocument/2006/customXml" ds:itemID="{5DA5CB9C-5A16-45D6-9B43-8EF1D66A1E4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686819-6921-478D-8525-08761DC915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37650f-4e7f-463e-8c1d-d4d3a33576d1"/>
    <ds:schemaRef ds:uri="e22cd451-935e-461d-9eac-2877c110c6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47A173-9385-41E6-87EC-5BB5C6703F6F}">
  <ds:schemaRefs>
    <ds:schemaRef ds:uri="http://schemas.microsoft.com/office/2006/metadata/properties"/>
    <ds:schemaRef ds:uri="http://schemas.microsoft.com/office/infopath/2007/PartnerControls"/>
    <ds:schemaRef ds:uri="9837650f-4e7f-463e-8c1d-d4d3a33576d1"/>
    <ds:schemaRef ds:uri="e22cd451-935e-461d-9eac-2877c110c69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Project Info</vt:lpstr>
      <vt:lpstr>Summary</vt:lpstr>
      <vt:lpstr>Inventory</vt:lpstr>
      <vt:lpstr>Factor Tables</vt:lpstr>
      <vt:lpstr>BuildingTypesACC</vt:lpstr>
      <vt:lpstr>BuildingTypesDX</vt:lpstr>
      <vt:lpstr>BuildingTypesWCC</vt:lpstr>
      <vt:lpstr>Inventory!Print_Area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Derek</dc:creator>
  <cp:lastModifiedBy>Chris Stanaland</cp:lastModifiedBy>
  <dcterms:created xsi:type="dcterms:W3CDTF">2014-12-23T23:23:43Z</dcterms:created>
  <dcterms:modified xsi:type="dcterms:W3CDTF">2026-02-16T15:23:34Z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0x01010048BFD3B6FA49D149A50CBEE50AA6A606</vt:lpwstr>
  </property>
</Properties>
</file>