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bevilacquaknight-my.sharepoint.com/personal/cstanaland_frontierenergy_com/Documents/Files/"/>
    </mc:Choice>
  </mc:AlternateContent>
  <xr:revisionPtr revIDLastSave="0" documentId="8_{13B0905F-9ACA-4703-828C-4FE2588BF7B1}" xr6:coauthVersionLast="47" xr6:coauthVersionMax="47" xr10:uidLastSave="{00000000-0000-0000-0000-000000000000}"/>
  <bookViews>
    <workbookView xWindow="-21165" yWindow="1395" windowWidth="19230" windowHeight="13110" tabRatio="670" xr2:uid="{2A0BC0B5-23B5-4DB5-9231-8D71FF4D8C08}"/>
  </bookViews>
  <sheets>
    <sheet name="Project Info" sheetId="6" r:id="rId1"/>
    <sheet name="Summary" sheetId="7" r:id="rId2"/>
    <sheet name="Definitions" sheetId="5" r:id="rId3"/>
    <sheet name="Combi Ovens" sheetId="8" r:id="rId4"/>
    <sheet name="Conv Ovens" sheetId="9" r:id="rId5"/>
    <sheet name="Fryers" sheetId="11" r:id="rId6"/>
    <sheet name="Steam Cookers" sheetId="12" r:id="rId7"/>
    <sheet name="HFHCs" sheetId="10" r:id="rId8"/>
    <sheet name="Ice Makers" sheetId="16" r:id="rId9"/>
    <sheet name="Dishwashers" sheetId="14"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4" i="16" l="1"/>
  <c r="W4" i="16" s="1"/>
  <c r="Y4" i="16"/>
  <c r="Z4" i="16"/>
  <c r="AA4" i="16"/>
  <c r="AB4" i="16"/>
  <c r="AE4" i="16"/>
  <c r="AF4" i="16"/>
  <c r="AG4" i="16"/>
  <c r="AH4" i="16"/>
  <c r="AK4" i="16"/>
  <c r="P5" i="16"/>
  <c r="X5" i="16" s="1"/>
  <c r="W5" i="16"/>
  <c r="AB5" i="16"/>
  <c r="AC5" i="16"/>
  <c r="AH5" i="16"/>
  <c r="AI5" i="16"/>
  <c r="P6" i="16"/>
  <c r="AA6" i="16" s="1"/>
  <c r="W6" i="16"/>
  <c r="X6" i="16"/>
  <c r="Y6" i="16"/>
  <c r="Z6" i="16"/>
  <c r="AB6" i="16"/>
  <c r="AC6" i="16"/>
  <c r="AD6" i="16"/>
  <c r="AE6" i="16"/>
  <c r="AF6" i="16"/>
  <c r="AH6" i="16"/>
  <c r="AI6" i="16"/>
  <c r="AJ6" i="16"/>
  <c r="AK6" i="16"/>
  <c r="P7" i="16"/>
  <c r="W7" i="16" s="1"/>
  <c r="Y7" i="16"/>
  <c r="Z7" i="16"/>
  <c r="AA7" i="16"/>
  <c r="AB7" i="16"/>
  <c r="AE7" i="16"/>
  <c r="AF7" i="16"/>
  <c r="AG7" i="16"/>
  <c r="AH7" i="16"/>
  <c r="AK7" i="16"/>
  <c r="P8" i="16"/>
  <c r="X8" i="16" s="1"/>
  <c r="W8" i="16"/>
  <c r="AC8" i="16"/>
  <c r="AH8" i="16"/>
  <c r="AI8" i="16"/>
  <c r="P9" i="16"/>
  <c r="AA9" i="16" s="1"/>
  <c r="W9" i="16"/>
  <c r="X9" i="16"/>
  <c r="Y9" i="16"/>
  <c r="Z9" i="16"/>
  <c r="AB9" i="16"/>
  <c r="AC9" i="16"/>
  <c r="AD9" i="16"/>
  <c r="AE9" i="16"/>
  <c r="AF9" i="16"/>
  <c r="AH9" i="16"/>
  <c r="AI9" i="16"/>
  <c r="AJ9" i="16"/>
  <c r="AK9" i="16"/>
  <c r="P10" i="16"/>
  <c r="W10" i="16" s="1"/>
  <c r="Y10" i="16"/>
  <c r="Z10" i="16"/>
  <c r="AA10" i="16"/>
  <c r="AB10" i="16"/>
  <c r="AE10" i="16"/>
  <c r="AF10" i="16"/>
  <c r="AG10" i="16"/>
  <c r="AH10" i="16"/>
  <c r="AK10" i="16"/>
  <c r="P11" i="16"/>
  <c r="X11" i="16" s="1"/>
  <c r="W11" i="16"/>
  <c r="AC11" i="16"/>
  <c r="AI11" i="16"/>
  <c r="P12" i="16"/>
  <c r="AA12" i="16" s="1"/>
  <c r="W12" i="16"/>
  <c r="X12" i="16"/>
  <c r="Y12" i="16"/>
  <c r="Z12" i="16"/>
  <c r="AB12" i="16"/>
  <c r="AC12" i="16"/>
  <c r="AD12" i="16"/>
  <c r="AE12" i="16"/>
  <c r="AF12" i="16"/>
  <c r="AH12" i="16"/>
  <c r="AI12" i="16"/>
  <c r="AJ12" i="16"/>
  <c r="AK12" i="16"/>
  <c r="P13" i="16"/>
  <c r="W13" i="16" s="1"/>
  <c r="Y13" i="16"/>
  <c r="Z13" i="16"/>
  <c r="AA13" i="16"/>
  <c r="AB13" i="16"/>
  <c r="AE13" i="16"/>
  <c r="AF13" i="16"/>
  <c r="AG13" i="16"/>
  <c r="AH13" i="16"/>
  <c r="AK13" i="16"/>
  <c r="P14" i="16"/>
  <c r="Y14" i="16" s="1"/>
  <c r="W14" i="16"/>
  <c r="X14" i="16"/>
  <c r="AC14" i="16"/>
  <c r="AD14" i="16"/>
  <c r="AI14" i="16"/>
  <c r="AJ14" i="16"/>
  <c r="P15" i="16"/>
  <c r="W15" i="16" s="1"/>
  <c r="Y15" i="16"/>
  <c r="Z15" i="16"/>
  <c r="AA15" i="16"/>
  <c r="AB15" i="16"/>
  <c r="AE15" i="16"/>
  <c r="AF15" i="16"/>
  <c r="AG15" i="16"/>
  <c r="AH15" i="16"/>
  <c r="AK15" i="16"/>
  <c r="P16" i="16"/>
  <c r="Y16" i="16" s="1"/>
  <c r="W16" i="16"/>
  <c r="X16" i="16"/>
  <c r="AB16" i="16"/>
  <c r="AC16" i="16"/>
  <c r="AD16" i="16"/>
  <c r="AH16" i="16"/>
  <c r="AI16" i="16"/>
  <c r="AJ16" i="16"/>
  <c r="P17" i="16"/>
  <c r="W17" i="16" s="1"/>
  <c r="X17" i="16"/>
  <c r="Y17" i="16"/>
  <c r="Z17" i="16"/>
  <c r="AA17" i="16"/>
  <c r="AB17" i="16"/>
  <c r="AD17" i="16"/>
  <c r="AE17" i="16"/>
  <c r="AF17" i="16"/>
  <c r="AG17" i="16"/>
  <c r="AH17" i="16"/>
  <c r="AJ17" i="16"/>
  <c r="AK17" i="16"/>
  <c r="G18" i="16"/>
  <c r="G22" i="16" s="1"/>
  <c r="P18" i="16"/>
  <c r="X18" i="16" s="1"/>
  <c r="W18" i="16"/>
  <c r="AC18" i="16"/>
  <c r="AI18" i="16"/>
  <c r="P19" i="16"/>
  <c r="W19" i="16"/>
  <c r="X19" i="16"/>
  <c r="Y19" i="16"/>
  <c r="Z19" i="16"/>
  <c r="AA19" i="16"/>
  <c r="AB19" i="16"/>
  <c r="AC19" i="16"/>
  <c r="AD19" i="16"/>
  <c r="AE19" i="16"/>
  <c r="AF19" i="16"/>
  <c r="AG19" i="16"/>
  <c r="AH19" i="16"/>
  <c r="AI19" i="16"/>
  <c r="AJ19" i="16"/>
  <c r="AK19" i="16"/>
  <c r="P20" i="16"/>
  <c r="W20" i="16" s="1"/>
  <c r="P21" i="16"/>
  <c r="W21" i="16"/>
  <c r="X21" i="16"/>
  <c r="Y21" i="16"/>
  <c r="Z21" i="16"/>
  <c r="AA21" i="16"/>
  <c r="AB21" i="16"/>
  <c r="AC21" i="16"/>
  <c r="AD21" i="16"/>
  <c r="AE21" i="16"/>
  <c r="AF21" i="16"/>
  <c r="AG21" i="16"/>
  <c r="AH21" i="16"/>
  <c r="AI21" i="16"/>
  <c r="AJ21" i="16"/>
  <c r="AK21" i="16"/>
  <c r="P22" i="16"/>
  <c r="W22" i="16" s="1"/>
  <c r="AH22" i="16"/>
  <c r="C23" i="16"/>
  <c r="D23" i="16"/>
  <c r="E23" i="16"/>
  <c r="F23" i="16"/>
  <c r="G23" i="16"/>
  <c r="P23" i="16"/>
  <c r="W23" i="16"/>
  <c r="X23" i="16"/>
  <c r="Y23" i="16"/>
  <c r="Z23" i="16"/>
  <c r="AA23" i="16"/>
  <c r="AB23" i="16"/>
  <c r="AC23" i="16"/>
  <c r="AD23" i="16"/>
  <c r="AE23" i="16"/>
  <c r="AF23" i="16"/>
  <c r="AG23" i="16"/>
  <c r="AH23" i="16"/>
  <c r="AI23" i="16"/>
  <c r="AJ23" i="16"/>
  <c r="AK23" i="16"/>
  <c r="P24" i="16"/>
  <c r="W24" i="16" s="1"/>
  <c r="Y24" i="16"/>
  <c r="Z24" i="16"/>
  <c r="AA24" i="16"/>
  <c r="AB24" i="16"/>
  <c r="AE24" i="16"/>
  <c r="AF24" i="16"/>
  <c r="AG24" i="16"/>
  <c r="AH24" i="16"/>
  <c r="AK24" i="16"/>
  <c r="G20" i="9"/>
  <c r="C12" i="9"/>
  <c r="G12" i="9"/>
  <c r="D12" i="9"/>
  <c r="C13" i="9"/>
  <c r="D13" i="9"/>
  <c r="E13" i="9"/>
  <c r="F13" i="9"/>
  <c r="G13" i="9"/>
  <c r="E12" i="9"/>
  <c r="E15" i="9" s="1"/>
  <c r="E19" i="9" s="1"/>
  <c r="F12" i="9"/>
  <c r="C15" i="8"/>
  <c r="G17" i="8"/>
  <c r="F17" i="8"/>
  <c r="E17" i="8"/>
  <c r="D17" i="8"/>
  <c r="G15" i="8"/>
  <c r="F15" i="8"/>
  <c r="E15" i="8"/>
  <c r="D15" i="8"/>
  <c r="C17" i="8"/>
  <c r="G20" i="8"/>
  <c r="F20" i="8"/>
  <c r="E20" i="8"/>
  <c r="D20" i="8"/>
  <c r="C20" i="8"/>
  <c r="C22" i="8" s="1"/>
  <c r="G23" i="14"/>
  <c r="D21" i="7" s="1"/>
  <c r="F23" i="14"/>
  <c r="D20" i="7" s="1"/>
  <c r="E23" i="14"/>
  <c r="D23" i="14"/>
  <c r="D18" i="7" s="1"/>
  <c r="G22" i="14"/>
  <c r="C21" i="7" s="1"/>
  <c r="F22" i="14"/>
  <c r="E22" i="14"/>
  <c r="D22" i="14"/>
  <c r="C18" i="7" s="1"/>
  <c r="C23" i="14"/>
  <c r="C22" i="14"/>
  <c r="C20" i="7"/>
  <c r="G18" i="14"/>
  <c r="F18" i="14"/>
  <c r="E18" i="14"/>
  <c r="D18" i="14"/>
  <c r="G17" i="14"/>
  <c r="F17" i="14"/>
  <c r="E17" i="14"/>
  <c r="D17" i="14"/>
  <c r="D20" i="14" s="1"/>
  <c r="D24" i="14" s="1"/>
  <c r="E18" i="7" s="1"/>
  <c r="G16" i="14"/>
  <c r="F16" i="14"/>
  <c r="E16" i="14"/>
  <c r="D16" i="14"/>
  <c r="G15" i="14"/>
  <c r="F15" i="14"/>
  <c r="E15" i="14"/>
  <c r="D15" i="14"/>
  <c r="C18" i="14"/>
  <c r="C17" i="14"/>
  <c r="C16" i="14"/>
  <c r="C15" i="14"/>
  <c r="G25" i="14"/>
  <c r="F25" i="14"/>
  <c r="E25" i="14"/>
  <c r="D25" i="14"/>
  <c r="C25" i="14"/>
  <c r="F20" i="14"/>
  <c r="F24" i="14" s="1"/>
  <c r="E20" i="14" l="1"/>
  <c r="E24" i="14" s="1"/>
  <c r="C14" i="16"/>
  <c r="C21" i="16" s="1"/>
  <c r="C20" i="16" s="1"/>
  <c r="AH20" i="16"/>
  <c r="AB11" i="16"/>
  <c r="AB8" i="16"/>
  <c r="AA22" i="16"/>
  <c r="AG20" i="16"/>
  <c r="Z22" i="16"/>
  <c r="Z20" i="16"/>
  <c r="AG11" i="16"/>
  <c r="AA11" i="16"/>
  <c r="AG8" i="16"/>
  <c r="AA8" i="16"/>
  <c r="AG5" i="16"/>
  <c r="AA5" i="16"/>
  <c r="AB22" i="16"/>
  <c r="AB20" i="16"/>
  <c r="AG22" i="16"/>
  <c r="AB18" i="16"/>
  <c r="AH11" i="16"/>
  <c r="AF22" i="16"/>
  <c r="AF20" i="16"/>
  <c r="AG18" i="16"/>
  <c r="AA18" i="16"/>
  <c r="AH14" i="16"/>
  <c r="AB14" i="16"/>
  <c r="AJ24" i="16"/>
  <c r="AD24" i="16"/>
  <c r="X24" i="16"/>
  <c r="AK22" i="16"/>
  <c r="AE22" i="16"/>
  <c r="Y22" i="16"/>
  <c r="AK20" i="16"/>
  <c r="AE20" i="16"/>
  <c r="Y20" i="16"/>
  <c r="AF18" i="16"/>
  <c r="Z18" i="16"/>
  <c r="AI17" i="16"/>
  <c r="AC17" i="16"/>
  <c r="AG16" i="16"/>
  <c r="AA16" i="16"/>
  <c r="AJ15" i="16"/>
  <c r="AD15" i="16"/>
  <c r="X15" i="16"/>
  <c r="AG14" i="16"/>
  <c r="AA14" i="16"/>
  <c r="AJ13" i="16"/>
  <c r="AD13" i="16"/>
  <c r="X13" i="16"/>
  <c r="AF11" i="16"/>
  <c r="Z11" i="16"/>
  <c r="AJ10" i="16"/>
  <c r="AD10" i="16"/>
  <c r="X10" i="16"/>
  <c r="AF8" i="16"/>
  <c r="Z8" i="16"/>
  <c r="AJ7" i="16"/>
  <c r="AD7" i="16"/>
  <c r="X7" i="16"/>
  <c r="AF5" i="16"/>
  <c r="Z5" i="16"/>
  <c r="AJ4" i="16"/>
  <c r="AD4" i="16"/>
  <c r="X4" i="16"/>
  <c r="AI24" i="16"/>
  <c r="AC24" i="16"/>
  <c r="AJ22" i="16"/>
  <c r="AD22" i="16"/>
  <c r="X22" i="16"/>
  <c r="AJ20" i="16"/>
  <c r="AD20" i="16"/>
  <c r="X20" i="16"/>
  <c r="AK18" i="16"/>
  <c r="AE18" i="16"/>
  <c r="Y18" i="16"/>
  <c r="AF16" i="16"/>
  <c r="Z16" i="16"/>
  <c r="AI15" i="16"/>
  <c r="AC15" i="16"/>
  <c r="AF14" i="16"/>
  <c r="Z14" i="16"/>
  <c r="AI13" i="16"/>
  <c r="AC13" i="16"/>
  <c r="AG12" i="16"/>
  <c r="AK11" i="16"/>
  <c r="AE11" i="16"/>
  <c r="Y11" i="16"/>
  <c r="AI10" i="16"/>
  <c r="AC10" i="16"/>
  <c r="AG9" i="16"/>
  <c r="AK8" i="16"/>
  <c r="AE8" i="16"/>
  <c r="Y8" i="16"/>
  <c r="AI7" i="16"/>
  <c r="AC7" i="16"/>
  <c r="AG6" i="16"/>
  <c r="AK5" i="16"/>
  <c r="G16" i="16" s="1"/>
  <c r="AE5" i="16"/>
  <c r="Y5" i="16"/>
  <c r="AI4" i="16"/>
  <c r="AC4" i="16"/>
  <c r="AA20" i="16"/>
  <c r="AH18" i="16"/>
  <c r="AI22" i="16"/>
  <c r="AC22" i="16"/>
  <c r="AI20" i="16"/>
  <c r="AC20" i="16"/>
  <c r="AJ18" i="16"/>
  <c r="AD18" i="16"/>
  <c r="AK16" i="16"/>
  <c r="AE16" i="16"/>
  <c r="AK14" i="16"/>
  <c r="AE14" i="16"/>
  <c r="AJ11" i="16"/>
  <c r="AD11" i="16"/>
  <c r="AJ8" i="16"/>
  <c r="AD8" i="16"/>
  <c r="AJ5" i="16"/>
  <c r="AD5" i="16"/>
  <c r="C15" i="9"/>
  <c r="C19" i="7"/>
  <c r="D19" i="7"/>
  <c r="D17" i="7"/>
  <c r="C17" i="7"/>
  <c r="G20" i="14"/>
  <c r="G24" i="14" s="1"/>
  <c r="C20" i="14"/>
  <c r="C24" i="14" s="1"/>
  <c r="F14" i="16" l="1"/>
  <c r="F16" i="16"/>
  <c r="F15" i="16"/>
  <c r="D15" i="16"/>
  <c r="C15" i="16"/>
  <c r="C16" i="16"/>
  <c r="F18" i="16"/>
  <c r="F22" i="16" s="1"/>
  <c r="E16" i="16"/>
  <c r="G15" i="16"/>
  <c r="D14" i="16"/>
  <c r="E14" i="16"/>
  <c r="D16" i="16"/>
  <c r="D18" i="16" s="1"/>
  <c r="D22" i="16" s="1"/>
  <c r="G14" i="16"/>
  <c r="E15" i="16"/>
  <c r="E18" i="16" s="1"/>
  <c r="E22" i="16" s="1"/>
  <c r="C18" i="9"/>
  <c r="C19" i="9"/>
  <c r="E21" i="7"/>
  <c r="E20" i="7"/>
  <c r="E17" i="7"/>
  <c r="E19" i="7"/>
  <c r="C11" i="10"/>
  <c r="C12" i="10" s="1"/>
  <c r="C14" i="10" s="1"/>
  <c r="C18" i="10" s="1"/>
  <c r="G11" i="10"/>
  <c r="G12" i="10" s="1"/>
  <c r="G14" i="10" s="1"/>
  <c r="G18" i="10" s="1"/>
  <c r="F11" i="10"/>
  <c r="F12" i="10" s="1"/>
  <c r="F14" i="10" s="1"/>
  <c r="F18" i="10" s="1"/>
  <c r="E11" i="10"/>
  <c r="E12" i="10" s="1"/>
  <c r="E14" i="10" s="1"/>
  <c r="E18" i="10" s="1"/>
  <c r="D11" i="10"/>
  <c r="D12" i="10" s="1"/>
  <c r="D14" i="10" s="1"/>
  <c r="G14" i="12"/>
  <c r="F14" i="12"/>
  <c r="E14" i="12"/>
  <c r="D14" i="12"/>
  <c r="G13" i="12"/>
  <c r="G16" i="12" s="1"/>
  <c r="G20" i="12" s="1"/>
  <c r="F13" i="12"/>
  <c r="E13" i="12"/>
  <c r="E16" i="12" s="1"/>
  <c r="E19" i="12" s="1"/>
  <c r="D13" i="12"/>
  <c r="D16" i="12" s="1"/>
  <c r="D20" i="12" s="1"/>
  <c r="C14" i="12"/>
  <c r="C13" i="12"/>
  <c r="C16" i="12" s="1"/>
  <c r="C18" i="12" s="1"/>
  <c r="G13" i="11"/>
  <c r="F13" i="11"/>
  <c r="E13" i="11"/>
  <c r="D13" i="11"/>
  <c r="G12" i="11"/>
  <c r="G15" i="11" s="1"/>
  <c r="G18" i="11" s="1"/>
  <c r="F12" i="11"/>
  <c r="F15" i="11" s="1"/>
  <c r="F19" i="11" s="1"/>
  <c r="E12" i="11"/>
  <c r="E15" i="11" s="1"/>
  <c r="E19" i="11" s="1"/>
  <c r="D12" i="11"/>
  <c r="D15" i="11" s="1"/>
  <c r="D18" i="11" s="1"/>
  <c r="C13" i="11"/>
  <c r="C12" i="11"/>
  <c r="C15" i="11" s="1"/>
  <c r="C18" i="11" s="1"/>
  <c r="G16" i="8"/>
  <c r="F16" i="8"/>
  <c r="E16" i="8"/>
  <c r="D16" i="8"/>
  <c r="G18" i="8"/>
  <c r="F18" i="8"/>
  <c r="E18" i="8"/>
  <c r="D18" i="8"/>
  <c r="C18" i="8"/>
  <c r="C16" i="8"/>
  <c r="G15" i="9"/>
  <c r="F15" i="9"/>
  <c r="E17" i="9"/>
  <c r="D15" i="9"/>
  <c r="G19" i="10"/>
  <c r="F19" i="10"/>
  <c r="E19" i="10"/>
  <c r="D19" i="10"/>
  <c r="C19" i="10"/>
  <c r="G21" i="12"/>
  <c r="F21" i="12"/>
  <c r="E21" i="12"/>
  <c r="D21" i="12"/>
  <c r="C21" i="12"/>
  <c r="G20" i="11"/>
  <c r="F20" i="11"/>
  <c r="E20" i="11"/>
  <c r="D20" i="11"/>
  <c r="C20" i="11"/>
  <c r="F20" i="9"/>
  <c r="E20" i="9"/>
  <c r="D20" i="9"/>
  <c r="C20" i="9"/>
  <c r="G22" i="8"/>
  <c r="F22" i="8"/>
  <c r="E22" i="8"/>
  <c r="D23" i="8"/>
  <c r="C23" i="8"/>
  <c r="G25" i="8"/>
  <c r="F25" i="8"/>
  <c r="E25" i="8"/>
  <c r="D25" i="8"/>
  <c r="C25" i="8"/>
  <c r="C18" i="16" l="1"/>
  <c r="C22" i="16" s="1"/>
  <c r="G21" i="16"/>
  <c r="G20" i="16" s="1"/>
  <c r="D17" i="10"/>
  <c r="D18" i="10"/>
  <c r="F16" i="12"/>
  <c r="F19" i="12" s="1"/>
  <c r="E20" i="12"/>
  <c r="C20" i="12"/>
  <c r="D21" i="16"/>
  <c r="D20" i="16" s="1"/>
  <c r="E21" i="16"/>
  <c r="E20" i="16" s="1"/>
  <c r="F21" i="16"/>
  <c r="F20" i="16" s="1"/>
  <c r="G18" i="9"/>
  <c r="G17" i="9"/>
  <c r="G19" i="9"/>
  <c r="D17" i="9"/>
  <c r="D19" i="9"/>
  <c r="F17" i="9"/>
  <c r="F19" i="9"/>
  <c r="C16" i="10"/>
  <c r="E16" i="10"/>
  <c r="F16" i="10"/>
  <c r="F17" i="10"/>
  <c r="G16" i="10"/>
  <c r="G17" i="10"/>
  <c r="E17" i="10"/>
  <c r="D16" i="10"/>
  <c r="C17" i="10"/>
  <c r="C19" i="12"/>
  <c r="D18" i="12"/>
  <c r="E18" i="12"/>
  <c r="G18" i="12"/>
  <c r="G19" i="12"/>
  <c r="D19" i="12"/>
  <c r="E23" i="8"/>
  <c r="F23" i="8"/>
  <c r="G23" i="8"/>
  <c r="D22" i="8"/>
  <c r="C19" i="11"/>
  <c r="D18" i="9"/>
  <c r="E18" i="9"/>
  <c r="F18" i="9"/>
  <c r="C17" i="9"/>
  <c r="D24" i="8"/>
  <c r="E24" i="8"/>
  <c r="F24" i="8"/>
  <c r="G24" i="8"/>
  <c r="G19" i="11"/>
  <c r="G17" i="11"/>
  <c r="F17" i="11"/>
  <c r="F18" i="11"/>
  <c r="E17" i="11"/>
  <c r="E18" i="11"/>
  <c r="D17" i="11"/>
  <c r="D19" i="11"/>
  <c r="C17" i="11"/>
  <c r="C24" i="8"/>
  <c r="D15" i="7" l="1"/>
  <c r="C15" i="7"/>
  <c r="F20" i="12"/>
  <c r="E14" i="7" s="1"/>
  <c r="F18" i="12"/>
  <c r="C14" i="7" s="1"/>
  <c r="D14" i="7"/>
  <c r="E16" i="7"/>
  <c r="D13" i="7"/>
  <c r="C13" i="7"/>
  <c r="E13" i="7"/>
  <c r="C12" i="7"/>
  <c r="D12" i="7"/>
  <c r="E12" i="7"/>
  <c r="E15" i="7"/>
  <c r="E11" i="7"/>
  <c r="D11" i="7"/>
  <c r="C11" i="7"/>
  <c r="A1" i="7"/>
  <c r="D3" i="6"/>
  <c r="D16" i="7" l="1"/>
  <c r="D5" i="7" s="1"/>
  <c r="E14" i="6" s="1"/>
  <c r="C16" i="7"/>
  <c r="C5" i="7" s="1"/>
  <c r="B14" i="6" s="1"/>
  <c r="C6" i="7"/>
  <c r="I14" i="6" s="1"/>
</calcChain>
</file>

<file path=xl/sharedStrings.xml><?xml version="1.0" encoding="utf-8"?>
<sst xmlns="http://schemas.openxmlformats.org/spreadsheetml/2006/main" count="588" uniqueCount="306">
  <si>
    <t>Electric Fryers</t>
  </si>
  <si>
    <t>Fryer Type</t>
  </si>
  <si>
    <t>Standard</t>
  </si>
  <si>
    <t>Large Vat</t>
  </si>
  <si>
    <t>Combination Ovens</t>
  </si>
  <si>
    <t>Convection Ovens</t>
  </si>
  <si>
    <t>Oven Size</t>
  </si>
  <si>
    <t>Full-Size</t>
  </si>
  <si>
    <t>Half-Size</t>
  </si>
  <si>
    <t>Hot Food Holding Cabinets</t>
  </si>
  <si>
    <t>Size</t>
  </si>
  <si>
    <t>Electric Steam Cookers</t>
  </si>
  <si>
    <t>Ice Makers</t>
  </si>
  <si>
    <t>Equipment Type</t>
  </si>
  <si>
    <t>Program Type:</t>
  </si>
  <si>
    <t>Manufacturer:</t>
  </si>
  <si>
    <t>Equipment Type:</t>
  </si>
  <si>
    <t>kWh Savings:</t>
  </si>
  <si>
    <t>kW Savings:</t>
  </si>
  <si>
    <t>3/4-Size</t>
  </si>
  <si>
    <t>Batch</t>
  </si>
  <si>
    <t>Harvest Rate</t>
  </si>
  <si>
    <t>H &lt; 300</t>
  </si>
  <si>
    <t>IMH</t>
  </si>
  <si>
    <t>H &lt; 988</t>
  </si>
  <si>
    <t>H &lt; 930</t>
  </si>
  <si>
    <t>H &lt; 200</t>
  </si>
  <si>
    <t>RCU
(No Remote Compressor)</t>
  </si>
  <si>
    <t>RCU
(Remote Compressor)</t>
  </si>
  <si>
    <t>SCU</t>
  </si>
  <si>
    <t>Batch Type</t>
  </si>
  <si>
    <t>Continuous Type</t>
  </si>
  <si>
    <t>H &lt; 310</t>
  </si>
  <si>
    <t>H &lt; 800</t>
  </si>
  <si>
    <t>RCU (Remote Compressor)</t>
  </si>
  <si>
    <t>RCU
 (Remote Compressor)</t>
  </si>
  <si>
    <t>RCU (No Remote Compressor)</t>
  </si>
  <si>
    <t>Continuous</t>
  </si>
  <si>
    <t>H &lt; 110</t>
  </si>
  <si>
    <t>Rebate Amount</t>
  </si>
  <si>
    <t xml:space="preserve">A model in which the ice-making mechanism and condenser or condensing unit are in separate sections. </t>
  </si>
  <si>
    <t xml:space="preserve">Remote Condensing Unit (RCU) </t>
  </si>
  <si>
    <t xml:space="preserve">A model with the ice-making mechanism and the condensing unit in a single package, but with a separate ice storage bin. </t>
  </si>
  <si>
    <t>Ice Making Head (IMH)</t>
  </si>
  <si>
    <t>Types of Ice Makers</t>
  </si>
  <si>
    <t>A factory-made assembly (not necessarily shipped in one package) consisting of a condensing unit and ice-making section operating as an integrated unit, with means for making and harvesting ice.</t>
  </si>
  <si>
    <t>Is a steam cooker with a separate heating boiler that supplies steam to the cooking compartment.</t>
  </si>
  <si>
    <t>Boiler Base</t>
  </si>
  <si>
    <t>Kitchen Appliances are used to cook or prepare various foods with steam heat by means of holding the food in a closed vessel, reducing steam escape.</t>
  </si>
  <si>
    <t>Steam Generator</t>
  </si>
  <si>
    <t>Types Electric Steam Cookers</t>
  </si>
  <si>
    <t>Steam cookers are available in 3, 4, 5, or 6 pan and larger capacities. ENERGY STAR® qualified units are up to 50 percent more efficient than standard models. They have higher production rates and reduced heat loss due to better insulation and a more efficient steam delivery system. The energy and demand savings are determined on a per-cooker basis.</t>
  </si>
  <si>
    <t>A fryer with a vat that measures ≥ 18 inches and ≤ 24 inches wide, and a shortening capacity &gt; 50 pounds.</t>
  </si>
  <si>
    <t>A fryer with a vat that measures ≥ 12 inches and &lt; 18 inches wide, and a shortening capacity ≥ 25 pounds and ≤ 65 pounds.</t>
  </si>
  <si>
    <t>Standard-Size</t>
  </si>
  <si>
    <t>Types of Electric Fryers</t>
  </si>
  <si>
    <t>Are fryers that offer shorter cook times and higher production rates through advanced burner and heat exchanger designs.</t>
  </si>
  <si>
    <t>Full Size</t>
  </si>
  <si>
    <t>Half Size</t>
  </si>
  <si>
    <t>Types of Hot Food Holding Cabinets</t>
  </si>
  <si>
    <t>Hot Food Holding Cabinets: Are cabinets that keeps food warm, fresh and safe until people are ready to eat. These cabinets often incorporate better insulation which reduces heat loss, offer better temperature uniformity within the cabinet from top to bottom, and keeps the external cabinet cooler.</t>
  </si>
  <si>
    <t>A combination oven capable of accommodating standard full-size sheet pans measuring 18 x 26 x 1-inch.</t>
  </si>
  <si>
    <t>A combination oven capable of accommodating half-size sheet pans measuring 18 x 13 x 1-inch.</t>
  </si>
  <si>
    <t>Types of Convection Ovens</t>
  </si>
  <si>
    <t>Are ovens that cook their food by forcing hot dry air over the surface of the food product. The rapidly moving hot air strips away the layer of cooler air next to the food and enables the food to absorb the heat energy.</t>
  </si>
  <si>
    <t>Types of Combination Ovens</t>
  </si>
  <si>
    <t>Are ovens that include the added capability to inject steam into the oven cavity and typically offers at least three distinct cooking modes; combination mode to roast or bake with moist heat, convection mode to operate purely as a convection oven providing dry heat, or as a straight pressure-less steamer.</t>
  </si>
  <si>
    <t>Product Interior Volume is between 0 &lt; V &lt; 13 cu. ft.</t>
  </si>
  <si>
    <t>Product Interior Volume is between 13 ≤ V ≤ 28 cu. ft.</t>
  </si>
  <si>
    <t>Product Interior Volume is greater than 28 cu. ft.</t>
  </si>
  <si>
    <t>Self-Contained (SCU)</t>
  </si>
  <si>
    <t>Large-Vat</t>
  </si>
  <si>
    <t>Definition</t>
  </si>
  <si>
    <t>Dishwasher Type</t>
  </si>
  <si>
    <t>Under Counter</t>
  </si>
  <si>
    <t>Stationary Single Tank Door</t>
  </si>
  <si>
    <t>Single Tank Conveyor</t>
  </si>
  <si>
    <t>Pot, Pan, and Utensil</t>
  </si>
  <si>
    <t>Dishwasher Type:</t>
  </si>
  <si>
    <t>Peak kW Savings</t>
  </si>
  <si>
    <t>Types of Dishwashers</t>
  </si>
  <si>
    <t>Under Counter Dishwasher</t>
  </si>
  <si>
    <t>A machine with overall height of 38" or less, in which a rack of dishes remains stationary within the machine while being subjected to sequential wash and rinse sprays and is designed to be installed under food preparation workspaces. Under counter dishwashers can be either chemical or hot water sanitizing, with an internal booster heater for the latter. For purposes of this specification, only those machines designed for wash cycles of ten minutes or less can qualify for ENERGY STAR®.</t>
  </si>
  <si>
    <t>A machine in which a rack of dishes remains stationary within the machine while subjected to sequential wash and rinse sprays. This definition also applies to machines in which the rack revolves on an axis during the wash and rinse cycles. Subcategories of stationary door type machines include: single and multiple wash tank, double rack, pot, pan and utensil washers, chemical dump type and hooded wash compartment ("hood type"). Stationary rack, single tank, door type models are covered by this specification and can be either chemical or hot water sanitizing, with an internal or external booster heater for the latter.</t>
  </si>
  <si>
    <t>Stationary Rack, Single Tank, Door Type Dishwasher</t>
  </si>
  <si>
    <t>Single Tank Conveyor Dishwasher</t>
  </si>
  <si>
    <t>A washing machine that employs a conveyor or similar mechanism to carry dishes through a series of wash and rinse sprays within the machine. Specifically, a single tank conveyor machine has a tank for wash water followed by a final sanitizing rinse and does not have a pumped rinse tank. This type of machine may include a pre-washing section before the washing section. Single tank conveyor dishwashers can either be chemical or hot water sanitizing, with an internal or external booster heater for the latter.</t>
  </si>
  <si>
    <t>Multiple Tank Conveyor Dishwasher</t>
  </si>
  <si>
    <t>A conveyor type machine that has one or more tanks for wash water and one or more tanks for pumped rinse water, followed by a final sanitizing rinse. This type of machine may include one more pre-washing sections before the washing section. Multiple tank conveyor dishwashers can be either chemical or hot water sanitizing, with an internal or external hot water booster heater for the latter.</t>
  </si>
  <si>
    <t>A stationary rack, door type machine designed to clean and sanitize pots, pans, and kitchen utensils.</t>
  </si>
  <si>
    <t>EUL:</t>
  </si>
  <si>
    <r>
      <t xml:space="preserve">800 </t>
    </r>
    <r>
      <rPr>
        <u/>
        <sz val="11"/>
        <color theme="1"/>
        <rFont val="Calibri"/>
        <family val="2"/>
        <scheme val="minor"/>
      </rPr>
      <t>&lt;</t>
    </r>
    <r>
      <rPr>
        <sz val="11"/>
        <color theme="1"/>
        <rFont val="Calibri"/>
        <family val="2"/>
        <scheme val="minor"/>
      </rPr>
      <t xml:space="preserve"> H &lt; 1500</t>
    </r>
  </si>
  <si>
    <r>
      <t xml:space="preserve">300 </t>
    </r>
    <r>
      <rPr>
        <u/>
        <sz val="11"/>
        <color theme="1"/>
        <rFont val="Calibri"/>
        <family val="2"/>
        <scheme val="minor"/>
      </rPr>
      <t>&lt;</t>
    </r>
    <r>
      <rPr>
        <sz val="11"/>
        <color theme="1"/>
        <rFont val="Calibri"/>
        <family val="2"/>
        <scheme val="minor"/>
      </rPr>
      <t xml:space="preserve"> H &lt; 800</t>
    </r>
  </si>
  <si>
    <r>
      <t xml:space="preserve">110 </t>
    </r>
    <r>
      <rPr>
        <u/>
        <sz val="11"/>
        <color theme="1"/>
        <rFont val="Calibri"/>
        <family val="2"/>
        <scheme val="minor"/>
      </rPr>
      <t>&lt;</t>
    </r>
    <r>
      <rPr>
        <sz val="11"/>
        <color theme="1"/>
        <rFont val="Calibri"/>
        <family val="2"/>
        <scheme val="minor"/>
      </rPr>
      <t xml:space="preserve"> H &lt; 200</t>
    </r>
  </si>
  <si>
    <r>
      <t xml:space="preserve">310 </t>
    </r>
    <r>
      <rPr>
        <u/>
        <sz val="11"/>
        <color theme="1"/>
        <rFont val="Calibri"/>
        <family val="2"/>
        <scheme val="minor"/>
      </rPr>
      <t>&lt;</t>
    </r>
    <r>
      <rPr>
        <sz val="11"/>
        <color theme="1"/>
        <rFont val="Calibri"/>
        <family val="2"/>
        <scheme val="minor"/>
      </rPr>
      <t xml:space="preserve"> H &lt; 820</t>
    </r>
  </si>
  <si>
    <r>
      <t xml:space="preserve">200 </t>
    </r>
    <r>
      <rPr>
        <u/>
        <sz val="11"/>
        <color theme="1"/>
        <rFont val="Calibri"/>
        <family val="2"/>
        <scheme val="minor"/>
      </rPr>
      <t>&lt;</t>
    </r>
    <r>
      <rPr>
        <sz val="11"/>
        <color theme="1"/>
        <rFont val="Calibri"/>
        <family val="2"/>
        <scheme val="minor"/>
      </rPr>
      <t xml:space="preserve"> H &lt; 700</t>
    </r>
  </si>
  <si>
    <t>EL PASO ELECTRIC</t>
  </si>
  <si>
    <r>
      <t>EPE Customer Information</t>
    </r>
    <r>
      <rPr>
        <b/>
        <sz val="11"/>
        <color theme="3"/>
        <rFont val="Arial"/>
        <family val="2"/>
      </rPr>
      <t xml:space="preserve"> (as seen on EPE bill)</t>
    </r>
  </si>
  <si>
    <t>Company Name:</t>
  </si>
  <si>
    <t>Contact Name:</t>
  </si>
  <si>
    <t>Contact Phone:</t>
  </si>
  <si>
    <t>Contact Email:</t>
  </si>
  <si>
    <t>EPE Acct/Meter #:</t>
  </si>
  <si>
    <t>Rate:</t>
  </si>
  <si>
    <t>Example: NMRT03</t>
  </si>
  <si>
    <t>Service Address:</t>
  </si>
  <si>
    <t>City:</t>
  </si>
  <si>
    <t>State:</t>
  </si>
  <si>
    <t>New Mexico</t>
  </si>
  <si>
    <t>ZIP Code:</t>
  </si>
  <si>
    <t>kWH Savings</t>
  </si>
  <si>
    <t>El Paso Electric Rebate</t>
  </si>
  <si>
    <r>
      <t>Payment Information</t>
    </r>
    <r>
      <rPr>
        <b/>
        <sz val="11"/>
        <color theme="3"/>
        <rFont val="Arial"/>
        <family val="2"/>
      </rPr>
      <t xml:space="preserve"> (please provide an accompanying W9 if not currently on file with EPE)</t>
    </r>
  </si>
  <si>
    <t>PLEASE NOTE: The Company Name and Taxpayer ID # on W9 must match the Company Name on Federal tax return</t>
  </si>
  <si>
    <t>Payment Address:</t>
  </si>
  <si>
    <t>License #:</t>
  </si>
  <si>
    <t>Payment Release &amp; Acknowledgement</t>
  </si>
  <si>
    <t>By signing below, I acknowledge: (1) the authorization of the incentive to the payee named above in Payment Information; (2) that the project would not have been accomplished or would have been completed with less efficient equipment except for the existence of the incentive provided by this program; (3) that the information provided by me in this application is accurate to the best of my knowledge; (4) that if contacted concerning this project, I agree to allow access to my property to inspect the equipment; (5) that EPE assumes no liability whatsoever relating to the equipment installed, its installation, or its performance.</t>
  </si>
  <si>
    <t>Applicant Signature:</t>
  </si>
  <si>
    <t>Date:</t>
  </si>
  <si>
    <t>Savings Summary</t>
  </si>
  <si>
    <t>Claimed
Project Savings</t>
  </si>
  <si>
    <t>Total Summer
kW Savings</t>
  </si>
  <si>
    <t>Total
kWh Savings</t>
  </si>
  <si>
    <t xml:space="preserve"> Claimed Savings by Measure</t>
  </si>
  <si>
    <t>Summer
kW Savings</t>
  </si>
  <si>
    <t>Calculator Version</t>
  </si>
  <si>
    <t># Units:</t>
  </si>
  <si>
    <t>Electric Convection Ovens</t>
  </si>
  <si>
    <t>Dishwashers</t>
  </si>
  <si>
    <t>EUL</t>
  </si>
  <si>
    <t>Rebate</t>
  </si>
  <si>
    <t>Rebate Amount:</t>
  </si>
  <si>
    <t>Dishwashers (Under Counter)</t>
  </si>
  <si>
    <t>Dishwashers (Stationary Single Tank Door)</t>
  </si>
  <si>
    <t>Dishwashers (Single Tank Conveyor)</t>
  </si>
  <si>
    <t>Dishwashers (Multiple Tank Conveyor)</t>
  </si>
  <si>
    <t>Dishwashers (Pot, Pan, and Utensil)</t>
  </si>
  <si>
    <t>Model:</t>
  </si>
  <si>
    <t>Oven Size:</t>
  </si>
  <si>
    <t>Pan Capacity:</t>
  </si>
  <si>
    <t>Steam Idle Rate (kW):</t>
  </si>
  <si>
    <t>Convection Idle Rate (kW):</t>
  </si>
  <si>
    <t>Steam Cooking Efficiency:</t>
  </si>
  <si>
    <t>Convection Cooking Efficiency:</t>
  </si>
  <si>
    <t>Max Idle Rate:</t>
  </si>
  <si>
    <t>Max Steam Idle Rate:</t>
  </si>
  <si>
    <t>Max Conv. Idle Rate:</t>
  </si>
  <si>
    <t>Min Conv. Efficiency:</t>
  </si>
  <si>
    <t>Min Steam Efficiency:</t>
  </si>
  <si>
    <t>kWh/unit</t>
  </si>
  <si>
    <t>kW/unit</t>
  </si>
  <si>
    <t>Pan Capacity</t>
  </si>
  <si>
    <r>
      <t xml:space="preserve">5 </t>
    </r>
    <r>
      <rPr>
        <u/>
        <sz val="11"/>
        <color theme="1"/>
        <rFont val="Calibri"/>
        <family val="2"/>
        <scheme val="minor"/>
      </rPr>
      <t>&lt;</t>
    </r>
    <r>
      <rPr>
        <sz val="11"/>
        <color theme="1"/>
        <rFont val="Calibri"/>
        <family val="2"/>
        <scheme val="minor"/>
      </rPr>
      <t xml:space="preserve"> P </t>
    </r>
    <r>
      <rPr>
        <u/>
        <sz val="11"/>
        <color theme="1"/>
        <rFont val="Calibri"/>
        <family val="2"/>
        <scheme val="minor"/>
      </rPr>
      <t>&lt;</t>
    </r>
    <r>
      <rPr>
        <sz val="11"/>
        <color theme="1"/>
        <rFont val="Calibri"/>
        <family val="2"/>
        <scheme val="minor"/>
      </rPr>
      <t xml:space="preserve"> 20</t>
    </r>
  </si>
  <si>
    <t>Eligibility Check:</t>
  </si>
  <si>
    <t>Food Service Equipment Definitions:</t>
  </si>
  <si>
    <t>Half-size</t>
  </si>
  <si>
    <t>Full-size</t>
  </si>
  <si>
    <t>Idle Rate (W):</t>
  </si>
  <si>
    <t>Cooking Efficiency:</t>
  </si>
  <si>
    <t>Commercial Comprehensive Incentive Rates</t>
  </si>
  <si>
    <t>Fryer Size:</t>
  </si>
  <si>
    <t>Min Cooking Efficiency:</t>
  </si>
  <si>
    <t>ENERGY STAR Requirements:</t>
  </si>
  <si>
    <t>Operation</t>
  </si>
  <si>
    <t>Steam</t>
  </si>
  <si>
    <t>Convection</t>
  </si>
  <si>
    <r>
      <rPr>
        <u/>
        <sz val="11"/>
        <color theme="1"/>
        <rFont val="Calibri"/>
        <family val="2"/>
        <scheme val="minor"/>
      </rPr>
      <t>&lt;</t>
    </r>
    <r>
      <rPr>
        <sz val="11"/>
        <color theme="1"/>
        <rFont val="Calibri"/>
        <family val="2"/>
        <scheme val="minor"/>
      </rPr>
      <t xml:space="preserve"> 0.133 P + 0.6400</t>
    </r>
  </si>
  <si>
    <t>Min Efficiency</t>
  </si>
  <si>
    <t>Max Idle Rate</t>
  </si>
  <si>
    <t>Energy Savings:</t>
  </si>
  <si>
    <t>3-Pan</t>
  </si>
  <si>
    <t>4-Pan</t>
  </si>
  <si>
    <t>5-Pan</t>
  </si>
  <si>
    <t>6-Pan+</t>
  </si>
  <si>
    <t>Boiler Based</t>
  </si>
  <si>
    <t>Cooker Type:</t>
  </si>
  <si>
    <t>3/4-size</t>
  </si>
  <si>
    <t>3-pan</t>
  </si>
  <si>
    <t>4-pan</t>
  </si>
  <si>
    <t>5-pan</t>
  </si>
  <si>
    <t>6-pan+</t>
  </si>
  <si>
    <t>Volume</t>
  </si>
  <si>
    <t>0 &lt; V &lt; 13</t>
  </si>
  <si>
    <r>
      <t xml:space="preserve">28 </t>
    </r>
    <r>
      <rPr>
        <u/>
        <sz val="11"/>
        <color theme="1"/>
        <rFont val="Calibri"/>
        <family val="2"/>
        <scheme val="minor"/>
      </rPr>
      <t>&lt;</t>
    </r>
    <r>
      <rPr>
        <sz val="11"/>
        <color theme="1"/>
        <rFont val="Calibri"/>
        <family val="2"/>
        <scheme val="minor"/>
      </rPr>
      <t xml:space="preserve"> V</t>
    </r>
  </si>
  <si>
    <r>
      <t xml:space="preserve">13 </t>
    </r>
    <r>
      <rPr>
        <u/>
        <sz val="11"/>
        <color theme="1"/>
        <rFont val="Calibri"/>
        <family val="2"/>
        <scheme val="minor"/>
      </rPr>
      <t>&lt;</t>
    </r>
    <r>
      <rPr>
        <sz val="11"/>
        <color theme="1"/>
        <rFont val="Calibri"/>
        <family val="2"/>
        <scheme val="minor"/>
      </rPr>
      <t xml:space="preserve"> V &lt; 28</t>
    </r>
  </si>
  <si>
    <t>&lt; 21.5 V</t>
  </si>
  <si>
    <t>&lt; 2.0 V + 254.0</t>
  </si>
  <si>
    <t>&lt; 3.8 V + 203.5</t>
  </si>
  <si>
    <t>Cabinet Size:</t>
  </si>
  <si>
    <t>Interior Volume:</t>
  </si>
  <si>
    <t>Batch Type:</t>
  </si>
  <si>
    <t>IMH = Ice Making Head</t>
  </si>
  <si>
    <t>RCU = Remote Condensing Unit</t>
  </si>
  <si>
    <t>SCU = Self-Contained Unit</t>
  </si>
  <si>
    <t>Ice Type:</t>
  </si>
  <si>
    <t>Energy Use (kWh/100 lbs ice):</t>
  </si>
  <si>
    <t>Harvest Rate (lbs ice/day):</t>
  </si>
  <si>
    <t>Potable Water Use (gal/100 lbs ice):</t>
  </si>
  <si>
    <t>Max Potable Water Use:</t>
  </si>
  <si>
    <t>Max Potable Water Use</t>
  </si>
  <si>
    <t>Unit Type 1</t>
  </si>
  <si>
    <t>Unit Type 5</t>
  </si>
  <si>
    <t>Unit Type 4</t>
  </si>
  <si>
    <t>Unit Type 3</t>
  </si>
  <si>
    <t>Unit Type 2</t>
  </si>
  <si>
    <r>
      <t xml:space="preserve">800 </t>
    </r>
    <r>
      <rPr>
        <u/>
        <sz val="11"/>
        <color theme="1"/>
        <rFont val="Calibri"/>
        <family val="2"/>
        <scheme val="minor"/>
      </rPr>
      <t>&lt;</t>
    </r>
    <r>
      <rPr>
        <sz val="11"/>
        <color theme="1"/>
        <rFont val="Calibri"/>
        <family val="2"/>
        <scheme val="minor"/>
      </rPr>
      <t xml:space="preserve"> H &lt; 1,500</t>
    </r>
  </si>
  <si>
    <r>
      <t xml:space="preserve">1,500 </t>
    </r>
    <r>
      <rPr>
        <u/>
        <sz val="11"/>
        <color theme="1"/>
        <rFont val="Calibri"/>
        <family val="2"/>
        <scheme val="minor"/>
      </rPr>
      <t>&lt;</t>
    </r>
    <r>
      <rPr>
        <sz val="11"/>
        <color theme="1"/>
        <rFont val="Calibri"/>
        <family val="2"/>
        <scheme val="minor"/>
      </rPr>
      <t xml:space="preserve"> H &lt; 4,000</t>
    </r>
  </si>
  <si>
    <r>
      <t xml:space="preserve">988 </t>
    </r>
    <r>
      <rPr>
        <u/>
        <sz val="11"/>
        <color theme="1"/>
        <rFont val="Calibri"/>
        <family val="2"/>
        <scheme val="minor"/>
      </rPr>
      <t>&lt;</t>
    </r>
    <r>
      <rPr>
        <sz val="11"/>
        <color theme="1"/>
        <rFont val="Calibri"/>
        <family val="2"/>
        <scheme val="minor"/>
      </rPr>
      <t xml:space="preserve"> H &lt; 4,000</t>
    </r>
  </si>
  <si>
    <r>
      <t xml:space="preserve">200 </t>
    </r>
    <r>
      <rPr>
        <u/>
        <sz val="11"/>
        <color theme="1"/>
        <rFont val="Calibri"/>
        <family val="2"/>
        <scheme val="minor"/>
      </rPr>
      <t>&lt;</t>
    </r>
    <r>
      <rPr>
        <sz val="11"/>
        <color theme="1"/>
        <rFont val="Calibri"/>
        <family val="2"/>
        <scheme val="minor"/>
      </rPr>
      <t xml:space="preserve"> H &lt; 4,000</t>
    </r>
  </si>
  <si>
    <r>
      <t xml:space="preserve">820 </t>
    </r>
    <r>
      <rPr>
        <u/>
        <sz val="11"/>
        <color theme="1"/>
        <rFont val="Calibri"/>
        <family val="2"/>
        <scheme val="minor"/>
      </rPr>
      <t>&lt;</t>
    </r>
    <r>
      <rPr>
        <sz val="11"/>
        <color theme="1"/>
        <rFont val="Calibri"/>
        <family val="2"/>
        <scheme val="minor"/>
      </rPr>
      <t xml:space="preserve"> H &lt; 4,000</t>
    </r>
  </si>
  <si>
    <r>
      <t xml:space="preserve">800 </t>
    </r>
    <r>
      <rPr>
        <u/>
        <sz val="11"/>
        <color theme="1"/>
        <rFont val="Calibri"/>
        <family val="2"/>
        <scheme val="minor"/>
      </rPr>
      <t>&lt;</t>
    </r>
    <r>
      <rPr>
        <sz val="11"/>
        <color theme="1"/>
        <rFont val="Calibri"/>
        <family val="2"/>
        <scheme val="minor"/>
      </rPr>
      <t xml:space="preserve"> H &lt; 4,000</t>
    </r>
  </si>
  <si>
    <r>
      <t xml:space="preserve">700 </t>
    </r>
    <r>
      <rPr>
        <u/>
        <sz val="11"/>
        <color theme="1"/>
        <rFont val="Calibri"/>
        <family val="2"/>
        <scheme val="minor"/>
      </rPr>
      <t>&lt;</t>
    </r>
    <r>
      <rPr>
        <sz val="11"/>
        <color theme="1"/>
        <rFont val="Calibri"/>
        <family val="2"/>
        <scheme val="minor"/>
      </rPr>
      <t xml:space="preserve"> H &lt; 4,000</t>
    </r>
  </si>
  <si>
    <t>Baseline MEUR</t>
  </si>
  <si>
    <t>ENERGY STAR MEUR</t>
  </si>
  <si>
    <t>Baseline
Harvest Rate</t>
  </si>
  <si>
    <t>ENERGY STAR
Harvest Rate</t>
  </si>
  <si>
    <t>Max H</t>
  </si>
  <si>
    <t>Min H</t>
  </si>
  <si>
    <r>
      <t xml:space="preserve">700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</si>
  <si>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800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</si>
  <si>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820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</si>
  <si>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200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</si>
  <si>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930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</si>
  <si>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988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</si>
  <si>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1,500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</si>
  <si>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t>Base Max Energy Use Rate:</t>
  </si>
  <si>
    <t>ES Max Energy Use Rate:</t>
  </si>
  <si>
    <t xml:space="preserve"> Baseline MEUR</t>
  </si>
  <si>
    <t>Key:</t>
  </si>
  <si>
    <t>MEUR = Max Energy Use Rate</t>
  </si>
  <si>
    <t>10 - 0.01233 x H</t>
  </si>
  <si>
    <t>7.05 - 0.0025 x H</t>
  </si>
  <si>
    <t>5.55 - 0.00063 x H</t>
  </si>
  <si>
    <t>7.97 - 0.00342 x H</t>
  </si>
  <si>
    <t>7.17 – 0.00308 x H</t>
  </si>
  <si>
    <t>14.79 - 0.0469 x H</t>
  </si>
  <si>
    <t>12.42 - 0.02533 x H</t>
  </si>
  <si>
    <t>9.19 - 0.00629 x H</t>
  </si>
  <si>
    <t>7.90 – 0.005409 x H</t>
  </si>
  <si>
    <t>8.23 - 0.0032 x H</t>
  </si>
  <si>
    <t>7.08 – 0.002752 x H</t>
  </si>
  <si>
    <t>9.7 - 0.0058 x H</t>
  </si>
  <si>
    <t>7.76 – 0.00464 x H</t>
  </si>
  <si>
    <t>9.9 - 0.0058 x H</t>
  </si>
  <si>
    <t>14.22 - 0.03 x H</t>
  </si>
  <si>
    <t>12.37 – 0.0261 x H</t>
  </si>
  <si>
    <t>9.47 - 0.00624 x H</t>
  </si>
  <si>
    <t>8.24 – 0.005429 x H</t>
  </si>
  <si>
    <t>9.20 - 0.01134 x H</t>
  </si>
  <si>
    <t>6.49 - 0.0023 x H</t>
  </si>
  <si>
    <t>5.11 - 0.00058 x H</t>
  </si>
  <si>
    <t>12.57 - 0.0399 x H</t>
  </si>
  <si>
    <t>10.56 - 0.0215 x H</t>
  </si>
  <si>
    <r>
      <t xml:space="preserve">820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</si>
  <si>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988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</si>
  <si>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1500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</si>
  <si>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930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</si>
  <si>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200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</si>
  <si>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800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</si>
  <si>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r>
      <t xml:space="preserve">700 </t>
    </r>
    <r>
      <rPr>
        <u/>
        <sz val="11"/>
        <color theme="1"/>
        <rFont val="Calibri"/>
        <family val="2"/>
        <scheme val="minor"/>
      </rPr>
      <t>&lt;</t>
    </r>
    <r>
      <rPr>
        <sz val="11"/>
        <color theme="1"/>
        <rFont val="Calibri"/>
        <family val="2"/>
        <scheme val="minor"/>
      </rPr>
      <t xml:space="preserve"> H </t>
    </r>
    <r>
      <rPr>
        <u/>
        <sz val="11"/>
        <color theme="1"/>
        <rFont val="Calibri"/>
        <family val="2"/>
        <scheme val="minor"/>
      </rPr>
      <t>&lt;</t>
    </r>
    <r>
      <rPr>
        <sz val="11"/>
        <color theme="1"/>
        <rFont val="Calibri"/>
        <family val="2"/>
        <scheme val="minor"/>
      </rPr>
      <t xml:space="preserve"> 4000</t>
    </r>
  </si>
  <si>
    <t>Low-Temperature</t>
  </si>
  <si>
    <t>Multiple Tank Conveyor</t>
  </si>
  <si>
    <t>Maximum
Idle Energy
Rate (kW)</t>
  </si>
  <si>
    <t>Maximum
Water Consumption
(gal/rack)</t>
  </si>
  <si>
    <t>Max Low-Temp IER:</t>
  </si>
  <si>
    <t>Max Low-Temp WC:</t>
  </si>
  <si>
    <t>Max High-Temp IER:</t>
  </si>
  <si>
    <t>Max High-Temp WC:</t>
  </si>
  <si>
    <t>High-Temperature</t>
  </si>
  <si>
    <t>Temperature &amp; DHW Type:</t>
  </si>
  <si>
    <t>High-Temp Water Consumption:</t>
  </si>
  <si>
    <t>High-Temp Max Idle Energy Rate:</t>
  </si>
  <si>
    <t>Low-Temp Water Consumption.:</t>
  </si>
  <si>
    <t>Low-Temp Max Idle Energy Rate:</t>
  </si>
  <si>
    <t>Incentive
Rate</t>
  </si>
  <si>
    <t>Source: CLEAResult 10/2019 Whitepaper Table 1</t>
  </si>
  <si>
    <t>Low Temperature Electric DHW + Electric Booster</t>
  </si>
  <si>
    <t>High Temperature Electric DHW + Electric Booster</t>
  </si>
  <si>
    <t>Low Temperature Electric DHW + Gas Booster</t>
  </si>
  <si>
    <t>High Temperature Electric DHW + Gas Booster</t>
  </si>
  <si>
    <t>Low Temperature Gas DHW + Electric Booster</t>
  </si>
  <si>
    <t>High Temperature Gas DHW + Electric Booster</t>
  </si>
  <si>
    <t>Low Temperature Gas DHW + Gas Booster</t>
  </si>
  <si>
    <t>High Temperature Gas DHW + Gas Booster</t>
  </si>
  <si>
    <r>
      <rPr>
        <u/>
        <sz val="11"/>
        <color theme="1"/>
        <rFont val="Calibri"/>
        <family val="2"/>
        <scheme val="minor"/>
      </rPr>
      <t>&lt;</t>
    </r>
    <r>
      <rPr>
        <sz val="11"/>
        <color theme="1"/>
        <rFont val="Calibri"/>
        <family val="2"/>
        <scheme val="minor"/>
      </rPr>
      <t xml:space="preserve"> 0.083 P + 0.35</t>
    </r>
  </si>
  <si>
    <r>
      <t xml:space="preserve">Full-Size </t>
    </r>
    <r>
      <rPr>
        <sz val="11"/>
        <color theme="1"/>
        <rFont val="Calibri"/>
        <family val="2"/>
      </rPr>
      <t>≥ 5 Pans</t>
    </r>
  </si>
  <si>
    <t>Full-Size ≥ 5 Pans</t>
  </si>
  <si>
    <r>
      <t xml:space="preserve">Full-Size </t>
    </r>
    <r>
      <rPr>
        <sz val="11"/>
        <color theme="1"/>
        <rFont val="Calibri"/>
        <family val="2"/>
      </rPr>
      <t>&lt;</t>
    </r>
    <r>
      <rPr>
        <sz val="11"/>
        <color theme="1"/>
        <rFont val="Calibri"/>
        <family val="2"/>
        <scheme val="minor"/>
      </rPr>
      <t xml:space="preserve"> 5 Pans</t>
    </r>
  </si>
  <si>
    <t>Full-Size &lt; 5 Pans</t>
  </si>
  <si>
    <t>Max Idle Rate (kW)</t>
  </si>
  <si>
    <t>Idle Rate (kW):</t>
  </si>
  <si>
    <t>Commercial Comprehensive</t>
  </si>
  <si>
    <t>A combination oven capable of accommodating two 12.7 x 20.8 x 2.5-inch steam table pans per rack position, loaded from front-to-back or lengthwise.</t>
  </si>
  <si>
    <t>A combination oven capable of accommodating a single 12.7 x 20.8 x 2.5-inch steam table pan per rack position, loaded from front-to-back or lengthwise.</t>
  </si>
  <si>
    <t>Source: NM TRM Table 131 Deemed Energy and Demand Savings Values</t>
  </si>
  <si>
    <t>Source: NM TRM Table 125 Cooking Energy Efficiency and Idle Energy Rate Requirements</t>
  </si>
  <si>
    <t>Source: NM TRM Table 133 Cooking Energy Efficiency and Idle Rate Requirements</t>
  </si>
  <si>
    <t>Source: NM TRM Table 135 Deemed Energy and Demand Savings Values</t>
  </si>
  <si>
    <t>Source: NM TRM Table 136 High-Efficiency Requirements for Electric Fryers</t>
  </si>
  <si>
    <t>Source: NM TRM Table 138 Deemed Energy and Demand Savings Values by Fryer Type</t>
  </si>
  <si>
    <t>Source: NM TRM Table 139 Energy Efficiency and Idle Rate Requirements for Electric Steam Cookers</t>
  </si>
  <si>
    <t>Source: NM TRM Table 141 Deemed Energy and Demand Savings Values</t>
  </si>
  <si>
    <t>Source: NM TRM Table 143 Maximum Idle Energy Rate Requirements Qualification</t>
  </si>
  <si>
    <t>Source: NM TRM Table 145 Deemed Energy and Demand Savings Values by Hot Food Holding Cabinets Size</t>
  </si>
  <si>
    <t>Source: NM TRM Table 146 and 147 Commercial Air-Cooled Ice Makers Baseline Efficiency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</si>
</sst>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0.000"/>
    <numFmt numFmtId="166" formatCode="#,##0.0"/>
    <numFmt numFmtId="167" formatCode=";;;"/>
    <numFmt numFmtId="168" formatCode="_(* #,##0.000_);_(* \(#,##0.000\);_(* &quot;-&quot;???_);_(@_)"/>
    <numFmt numFmtId="169" formatCode="0.0"/>
  </numFmts>
  <fonts count="26"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u/>
      <sz val="11"/>
      <color theme="1"/>
      <name val="Calibri"/>
      <family val="2"/>
      <scheme val="minor"/>
    </font>
    <font>
      <sz val="10"/>
      <name val="Arial"/>
      <family val="2"/>
    </font>
    <font>
      <sz val="11"/>
      <color theme="1"/>
      <name val="Arial"/>
      <family val="2"/>
    </font>
    <font>
      <b/>
      <sz val="12"/>
      <name val="Arial"/>
      <family val="2"/>
    </font>
    <font>
      <b/>
      <sz val="20"/>
      <color theme="3"/>
      <name val="Arial"/>
      <family val="2"/>
    </font>
    <font>
      <sz val="10"/>
      <color theme="0"/>
      <name val="Arial"/>
      <family val="2"/>
    </font>
    <font>
      <b/>
      <sz val="10"/>
      <color theme="0"/>
      <name val="Arial"/>
      <family val="2"/>
    </font>
    <font>
      <b/>
      <sz val="14"/>
      <name val="Arial"/>
      <family val="2"/>
    </font>
    <font>
      <b/>
      <sz val="11"/>
      <name val="Arial"/>
      <family val="2"/>
    </font>
    <font>
      <b/>
      <u/>
      <sz val="14"/>
      <color theme="3"/>
      <name val="Arial"/>
      <family val="2"/>
    </font>
    <font>
      <b/>
      <sz val="11"/>
      <color theme="3"/>
      <name val="Arial"/>
      <family val="2"/>
    </font>
    <font>
      <sz val="11"/>
      <name val="Arial"/>
      <family val="2"/>
    </font>
    <font>
      <b/>
      <sz val="12"/>
      <color theme="1"/>
      <name val="Arial"/>
      <family val="2"/>
    </font>
    <font>
      <b/>
      <sz val="14"/>
      <color theme="1"/>
      <name val="Arial"/>
      <family val="2"/>
    </font>
    <font>
      <sz val="12"/>
      <name val="Arial"/>
      <family val="2"/>
    </font>
    <font>
      <b/>
      <sz val="18"/>
      <name val="Arial"/>
      <family val="2"/>
    </font>
    <font>
      <b/>
      <sz val="16"/>
      <name val="Arial"/>
      <family val="2"/>
    </font>
    <font>
      <b/>
      <sz val="10"/>
      <color indexed="8"/>
      <name val="Arial"/>
      <family val="2"/>
    </font>
    <font>
      <b/>
      <sz val="10"/>
      <name val="Arial"/>
      <family val="2"/>
    </font>
    <font>
      <sz val="10"/>
      <color indexed="8"/>
      <name val="Arial"/>
      <family val="2"/>
    </font>
    <font>
      <sz val="11"/>
      <color theme="1"/>
      <name val="Calibri"/>
      <family val="2"/>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indexed="31"/>
        <bgColor indexed="64"/>
      </patternFill>
    </fill>
    <fill>
      <patternFill patternType="solid">
        <fgColor indexed="31"/>
        <bgColor indexed="8"/>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right/>
      <top/>
      <bottom style="dashed">
        <color auto="1"/>
      </bottom>
      <diagonal/>
    </border>
    <border>
      <left/>
      <right/>
      <top style="dashed">
        <color auto="1"/>
      </top>
      <bottom style="dashed">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rgb="FF00B0F0"/>
      </left>
      <right style="thin">
        <color indexed="64"/>
      </right>
      <top style="medium">
        <color rgb="FF00B0F0"/>
      </top>
      <bottom style="thin">
        <color indexed="64"/>
      </bottom>
      <diagonal/>
    </border>
    <border>
      <left style="thin">
        <color indexed="64"/>
      </left>
      <right style="thin">
        <color indexed="64"/>
      </right>
      <top style="medium">
        <color rgb="FF00B0F0"/>
      </top>
      <bottom style="thin">
        <color indexed="64"/>
      </bottom>
      <diagonal/>
    </border>
    <border>
      <left style="thin">
        <color indexed="64"/>
      </left>
      <right style="medium">
        <color rgb="FF00B0F0"/>
      </right>
      <top style="medium">
        <color rgb="FF00B0F0"/>
      </top>
      <bottom style="thin">
        <color indexed="64"/>
      </bottom>
      <diagonal/>
    </border>
    <border>
      <left style="medium">
        <color rgb="FF00B0F0"/>
      </left>
      <right style="thin">
        <color indexed="64"/>
      </right>
      <top style="thin">
        <color indexed="64"/>
      </top>
      <bottom style="thin">
        <color indexed="64"/>
      </bottom>
      <diagonal/>
    </border>
    <border>
      <left style="thin">
        <color indexed="64"/>
      </left>
      <right style="medium">
        <color rgb="FF00B0F0"/>
      </right>
      <top style="thin">
        <color indexed="64"/>
      </top>
      <bottom style="thin">
        <color indexed="64"/>
      </bottom>
      <diagonal/>
    </border>
    <border>
      <left style="medium">
        <color rgb="FF00B0F0"/>
      </left>
      <right style="thin">
        <color indexed="64"/>
      </right>
      <top style="thin">
        <color indexed="64"/>
      </top>
      <bottom style="medium">
        <color rgb="FF00B0F0"/>
      </bottom>
      <diagonal/>
    </border>
    <border>
      <left style="thin">
        <color indexed="64"/>
      </left>
      <right style="thin">
        <color indexed="64"/>
      </right>
      <top style="thin">
        <color indexed="64"/>
      </top>
      <bottom style="medium">
        <color rgb="FF00B0F0"/>
      </bottom>
      <diagonal/>
    </border>
    <border>
      <left style="thin">
        <color indexed="64"/>
      </left>
      <right style="medium">
        <color rgb="FF00B0F0"/>
      </right>
      <top style="thin">
        <color indexed="64"/>
      </top>
      <bottom style="medium">
        <color rgb="FF00B0F0"/>
      </bottom>
      <diagonal/>
    </border>
    <border>
      <left style="medium">
        <color rgb="FF7030A0"/>
      </left>
      <right style="thin">
        <color indexed="64"/>
      </right>
      <top style="medium">
        <color rgb="FF7030A0"/>
      </top>
      <bottom style="thin">
        <color indexed="64"/>
      </bottom>
      <diagonal/>
    </border>
    <border>
      <left style="thin">
        <color indexed="64"/>
      </left>
      <right style="thin">
        <color indexed="64"/>
      </right>
      <top style="medium">
        <color rgb="FF7030A0"/>
      </top>
      <bottom style="thin">
        <color indexed="64"/>
      </bottom>
      <diagonal/>
    </border>
    <border>
      <left style="thin">
        <color indexed="64"/>
      </left>
      <right style="medium">
        <color rgb="FF7030A0"/>
      </right>
      <top style="medium">
        <color rgb="FF7030A0"/>
      </top>
      <bottom style="thin">
        <color indexed="64"/>
      </bottom>
      <diagonal/>
    </border>
    <border>
      <left style="medium">
        <color rgb="FF7030A0"/>
      </left>
      <right style="thin">
        <color indexed="64"/>
      </right>
      <top style="thin">
        <color indexed="64"/>
      </top>
      <bottom style="thin">
        <color indexed="64"/>
      </bottom>
      <diagonal/>
    </border>
    <border>
      <left style="thin">
        <color indexed="64"/>
      </left>
      <right style="medium">
        <color rgb="FF7030A0"/>
      </right>
      <top style="thin">
        <color indexed="64"/>
      </top>
      <bottom style="thin">
        <color indexed="64"/>
      </bottom>
      <diagonal/>
    </border>
    <border>
      <left style="medium">
        <color rgb="FF7030A0"/>
      </left>
      <right style="thin">
        <color indexed="64"/>
      </right>
      <top style="thin">
        <color indexed="64"/>
      </top>
      <bottom style="medium">
        <color rgb="FF7030A0"/>
      </bottom>
      <diagonal/>
    </border>
    <border>
      <left style="thin">
        <color indexed="64"/>
      </left>
      <right style="thin">
        <color indexed="64"/>
      </right>
      <top style="thin">
        <color indexed="64"/>
      </top>
      <bottom style="medium">
        <color rgb="FF7030A0"/>
      </bottom>
      <diagonal/>
    </border>
    <border>
      <left style="thin">
        <color indexed="64"/>
      </left>
      <right style="medium">
        <color rgb="FF7030A0"/>
      </right>
      <top style="thin">
        <color indexed="64"/>
      </top>
      <bottom style="medium">
        <color rgb="FF7030A0"/>
      </bottom>
      <diagonal/>
    </border>
    <border>
      <left style="medium">
        <color theme="9"/>
      </left>
      <right style="thin">
        <color indexed="64"/>
      </right>
      <top style="medium">
        <color theme="9"/>
      </top>
      <bottom style="thin">
        <color indexed="64"/>
      </bottom>
      <diagonal/>
    </border>
    <border>
      <left style="thin">
        <color indexed="64"/>
      </left>
      <right style="thin">
        <color indexed="64"/>
      </right>
      <top style="medium">
        <color theme="9"/>
      </top>
      <bottom style="thin">
        <color indexed="64"/>
      </bottom>
      <diagonal/>
    </border>
    <border>
      <left style="thin">
        <color indexed="64"/>
      </left>
      <right style="medium">
        <color theme="9"/>
      </right>
      <top style="medium">
        <color theme="9"/>
      </top>
      <bottom style="thin">
        <color indexed="64"/>
      </bottom>
      <diagonal/>
    </border>
    <border>
      <left style="medium">
        <color theme="9"/>
      </left>
      <right style="thin">
        <color indexed="64"/>
      </right>
      <top style="thin">
        <color indexed="64"/>
      </top>
      <bottom style="thin">
        <color indexed="64"/>
      </bottom>
      <diagonal/>
    </border>
    <border>
      <left style="thin">
        <color indexed="64"/>
      </left>
      <right style="medium">
        <color theme="9"/>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thin">
        <color indexed="64"/>
      </left>
      <right style="medium">
        <color theme="9"/>
      </right>
      <top style="thin">
        <color indexed="64"/>
      </top>
      <bottom style="medium">
        <color theme="9"/>
      </bottom>
      <diagonal/>
    </border>
  </borders>
  <cellStyleXfs count="4">
    <xf numFmtId="0" fontId="0" fillId="0" borderId="0"/>
    <xf numFmtId="43" fontId="1" fillId="0" borderId="0" applyFont="0" applyFill="0" applyBorder="0" applyAlignment="0" applyProtection="0"/>
    <xf numFmtId="0" fontId="6" fillId="0" borderId="0"/>
    <xf numFmtId="43" fontId="6" fillId="0" borderId="0" applyFont="0" applyFill="0" applyBorder="0" applyAlignment="0" applyProtection="0"/>
  </cellStyleXfs>
  <cellXfs count="295">
    <xf numFmtId="0" fontId="0" fillId="0" borderId="0" xfId="0"/>
    <xf numFmtId="0" fontId="0" fillId="3" borderId="0" xfId="0" applyFill="1" applyAlignment="1" applyProtection="1">
      <alignment horizontal="right" indent="1"/>
      <protection hidden="1"/>
    </xf>
    <xf numFmtId="0" fontId="2" fillId="3" borderId="0" xfId="0" applyFont="1" applyFill="1" applyAlignment="1" applyProtection="1">
      <alignment horizontal="right" indent="1"/>
      <protection hidden="1"/>
    </xf>
    <xf numFmtId="0" fontId="0" fillId="3" borderId="0" xfId="0" applyFill="1" applyAlignment="1" applyProtection="1">
      <alignment horizontal="center"/>
      <protection hidden="1"/>
    </xf>
    <xf numFmtId="0" fontId="0" fillId="3" borderId="0" xfId="0" applyFill="1" applyAlignment="1">
      <alignment vertical="center"/>
    </xf>
    <xf numFmtId="3" fontId="0" fillId="3" borderId="1" xfId="1" applyNumberFormat="1" applyFont="1" applyFill="1" applyBorder="1" applyAlignment="1" applyProtection="1">
      <alignment horizontal="center" vertical="center"/>
      <protection hidden="1"/>
    </xf>
    <xf numFmtId="165" fontId="0" fillId="3" borderId="1" xfId="0" applyNumberFormat="1" applyFill="1" applyBorder="1" applyAlignment="1" applyProtection="1">
      <alignment horizontal="center" vertical="center"/>
      <protection hidden="1"/>
    </xf>
    <xf numFmtId="3" fontId="0" fillId="3" borderId="1" xfId="0" applyNumberFormat="1" applyFill="1" applyBorder="1" applyAlignment="1" applyProtection="1">
      <alignment horizontal="center" vertical="center"/>
      <protection hidden="1"/>
    </xf>
    <xf numFmtId="0" fontId="3" fillId="3" borderId="1" xfId="0" applyFont="1" applyFill="1" applyBorder="1" applyAlignment="1">
      <alignment horizontal="center" vertical="center" wrapText="1"/>
    </xf>
    <xf numFmtId="0" fontId="0" fillId="3" borderId="3" xfId="0" applyFill="1" applyBorder="1" applyAlignment="1" applyProtection="1">
      <alignment horizontal="center"/>
      <protection locked="0"/>
    </xf>
    <xf numFmtId="0" fontId="0" fillId="3" borderId="0" xfId="0" applyFill="1" applyProtection="1">
      <protection hidden="1"/>
    </xf>
    <xf numFmtId="0" fontId="0" fillId="3" borderId="1" xfId="0" applyFill="1" applyBorder="1" applyProtection="1">
      <protection hidden="1"/>
    </xf>
    <xf numFmtId="0" fontId="0" fillId="3" borderId="1" xfId="0" applyFill="1" applyBorder="1" applyAlignment="1" applyProtection="1">
      <alignment horizontal="center"/>
      <protection hidden="1"/>
    </xf>
    <xf numFmtId="2" fontId="0" fillId="3" borderId="1" xfId="0" applyNumberFormat="1" applyFill="1" applyBorder="1" applyAlignment="1" applyProtection="1">
      <alignment horizontal="center"/>
      <protection hidden="1"/>
    </xf>
    <xf numFmtId="0" fontId="0" fillId="3" borderId="1" xfId="0" applyFill="1" applyBorder="1" applyAlignment="1" applyProtection="1">
      <alignment horizontal="center" vertical="center"/>
      <protection hidden="1"/>
    </xf>
    <xf numFmtId="0" fontId="2" fillId="2" borderId="1" xfId="0" applyFont="1" applyFill="1" applyBorder="1" applyAlignment="1" applyProtection="1">
      <alignment horizontal="center" vertical="center"/>
      <protection hidden="1"/>
    </xf>
    <xf numFmtId="0" fontId="6" fillId="4" borderId="0" xfId="0" applyFont="1" applyFill="1" applyAlignment="1">
      <alignment horizontal="left" vertical="center"/>
    </xf>
    <xf numFmtId="0" fontId="7" fillId="4" borderId="0" xfId="0" applyFont="1" applyFill="1" applyAlignment="1">
      <alignment vertical="center"/>
    </xf>
    <xf numFmtId="0" fontId="8" fillId="4" borderId="0" xfId="0" applyFont="1" applyFill="1" applyAlignment="1">
      <alignment horizontal="left" vertical="center"/>
    </xf>
    <xf numFmtId="0" fontId="6" fillId="4" borderId="0" xfId="0" applyFont="1" applyFill="1" applyAlignment="1">
      <alignment vertical="center"/>
    </xf>
    <xf numFmtId="0" fontId="10" fillId="4" borderId="0" xfId="0" applyFont="1" applyFill="1" applyAlignment="1">
      <alignment vertical="center"/>
    </xf>
    <xf numFmtId="0" fontId="11" fillId="3" borderId="0" xfId="0" quotePrefix="1" applyFont="1" applyFill="1" applyAlignment="1">
      <alignment horizontal="left" vertical="center"/>
    </xf>
    <xf numFmtId="0" fontId="8" fillId="4" borderId="0" xfId="0" applyFont="1" applyFill="1" applyAlignment="1">
      <alignment horizontal="right" vertical="center"/>
    </xf>
    <xf numFmtId="0" fontId="12" fillId="4" borderId="0" xfId="0" applyFont="1" applyFill="1" applyAlignment="1">
      <alignment horizontal="right" vertical="center" indent="1"/>
    </xf>
    <xf numFmtId="0" fontId="13" fillId="4" borderId="0" xfId="0" applyFont="1" applyFill="1" applyAlignment="1">
      <alignment horizontal="right" vertical="center" indent="1"/>
    </xf>
    <xf numFmtId="0" fontId="14" fillId="4" borderId="0" xfId="0" applyFont="1" applyFill="1" applyAlignment="1">
      <alignment vertical="center"/>
    </xf>
    <xf numFmtId="0" fontId="13" fillId="4" borderId="0" xfId="0" applyFont="1" applyFill="1" applyAlignment="1">
      <alignment horizontal="right" indent="1"/>
    </xf>
    <xf numFmtId="0" fontId="16" fillId="4" borderId="17" xfId="0" applyFont="1" applyFill="1" applyBorder="1" applyAlignment="1" applyProtection="1">
      <alignment horizontal="left" indent="1"/>
      <protection locked="0"/>
    </xf>
    <xf numFmtId="0" fontId="7" fillId="4" borderId="17" xfId="0" applyFont="1" applyFill="1" applyBorder="1" applyAlignment="1">
      <alignment vertical="center"/>
    </xf>
    <xf numFmtId="0" fontId="12" fillId="4" borderId="17" xfId="0" applyFont="1" applyFill="1" applyBorder="1" applyAlignment="1">
      <alignment horizontal="right" vertical="center" indent="1"/>
    </xf>
    <xf numFmtId="0" fontId="19" fillId="4" borderId="17" xfId="0" applyFont="1" applyFill="1" applyBorder="1" applyAlignment="1">
      <alignment horizontal="left" vertical="center" indent="1"/>
    </xf>
    <xf numFmtId="0" fontId="19" fillId="4" borderId="0" xfId="0" applyFont="1" applyFill="1" applyAlignment="1">
      <alignment horizontal="left" vertical="center" indent="1"/>
    </xf>
    <xf numFmtId="0" fontId="16" fillId="4" borderId="0" xfId="0" applyFont="1" applyFill="1" applyAlignment="1">
      <alignment vertical="center"/>
    </xf>
    <xf numFmtId="0" fontId="7" fillId="4" borderId="17" xfId="0" applyFont="1" applyFill="1" applyBorder="1" applyAlignment="1" applyProtection="1">
      <alignment horizontal="center"/>
      <protection locked="0"/>
    </xf>
    <xf numFmtId="167" fontId="6" fillId="4" borderId="0" xfId="2" applyNumberFormat="1" applyFill="1" applyAlignment="1">
      <alignment vertical="center"/>
    </xf>
    <xf numFmtId="0" fontId="6" fillId="4" borderId="0" xfId="2" applyFill="1" applyAlignment="1">
      <alignment vertical="center"/>
    </xf>
    <xf numFmtId="43" fontId="22" fillId="6" borderId="23" xfId="3" applyFont="1" applyFill="1" applyBorder="1" applyAlignment="1" applyProtection="1">
      <alignment horizontal="center" vertical="center" wrapText="1"/>
    </xf>
    <xf numFmtId="43" fontId="22" fillId="6" borderId="24" xfId="3" applyFont="1" applyFill="1" applyBorder="1" applyAlignment="1" applyProtection="1">
      <alignment horizontal="center" vertical="center" wrapText="1"/>
    </xf>
    <xf numFmtId="0" fontId="21" fillId="5" borderId="27" xfId="2" applyFont="1" applyFill="1" applyBorder="1" applyAlignment="1">
      <alignment horizontal="center" vertical="center" wrapText="1"/>
    </xf>
    <xf numFmtId="0" fontId="23" fillId="5" borderId="30" xfId="2" applyFont="1" applyFill="1" applyBorder="1" applyAlignment="1">
      <alignment horizontal="center" vertical="center" wrapText="1"/>
    </xf>
    <xf numFmtId="0" fontId="23" fillId="5" borderId="31" xfId="2" applyFont="1" applyFill="1" applyBorder="1" applyAlignment="1">
      <alignment horizontal="center" vertical="center" wrapText="1"/>
    </xf>
    <xf numFmtId="0" fontId="24" fillId="5" borderId="22" xfId="2" applyFont="1" applyFill="1" applyBorder="1" applyAlignment="1">
      <alignment horizontal="left" vertical="center" wrapText="1" indent="1"/>
    </xf>
    <xf numFmtId="0" fontId="24" fillId="5" borderId="25" xfId="2" applyFont="1" applyFill="1" applyBorder="1" applyAlignment="1">
      <alignment horizontal="left" vertical="center" wrapText="1" indent="1"/>
    </xf>
    <xf numFmtId="0" fontId="24" fillId="5" borderId="27" xfId="2" applyFont="1" applyFill="1" applyBorder="1" applyAlignment="1">
      <alignment horizontal="left" vertical="center" wrapText="1" indent="1"/>
    </xf>
    <xf numFmtId="0" fontId="24" fillId="5" borderId="3" xfId="2" applyFont="1" applyFill="1" applyBorder="1" applyAlignment="1">
      <alignment horizontal="left" vertical="center" wrapText="1" indent="1"/>
    </xf>
    <xf numFmtId="0" fontId="6" fillId="0" borderId="0" xfId="2" applyAlignment="1">
      <alignment vertical="center"/>
    </xf>
    <xf numFmtId="0" fontId="0" fillId="3" borderId="35" xfId="0" applyFill="1" applyBorder="1" applyAlignment="1" applyProtection="1">
      <alignment horizontal="center"/>
      <protection locked="0"/>
    </xf>
    <xf numFmtId="0" fontId="0" fillId="3" borderId="36" xfId="0" applyFill="1" applyBorder="1" applyAlignment="1" applyProtection="1">
      <alignment horizontal="center"/>
      <protection locked="0"/>
    </xf>
    <xf numFmtId="0" fontId="0" fillId="3" borderId="32" xfId="0" applyFill="1" applyBorder="1" applyAlignment="1" applyProtection="1">
      <alignment horizontal="center"/>
      <protection locked="0"/>
    </xf>
    <xf numFmtId="0" fontId="0" fillId="3" borderId="37" xfId="0" applyFill="1"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33" xfId="0" applyFill="1" applyBorder="1" applyAlignment="1" applyProtection="1">
      <alignment horizontal="center"/>
      <protection locked="0"/>
    </xf>
    <xf numFmtId="165" fontId="2" fillId="2" borderId="35" xfId="0" applyNumberFormat="1" applyFont="1" applyFill="1" applyBorder="1" applyAlignment="1" applyProtection="1">
      <alignment horizontal="center"/>
      <protection hidden="1"/>
    </xf>
    <xf numFmtId="165" fontId="2" fillId="2" borderId="36" xfId="0" applyNumberFormat="1" applyFont="1" applyFill="1" applyBorder="1" applyAlignment="1" applyProtection="1">
      <alignment horizontal="center"/>
      <protection hidden="1"/>
    </xf>
    <xf numFmtId="165" fontId="2" fillId="2" borderId="32" xfId="0" applyNumberFormat="1" applyFont="1" applyFill="1" applyBorder="1" applyAlignment="1" applyProtection="1">
      <alignment horizontal="center"/>
      <protection hidden="1"/>
    </xf>
    <xf numFmtId="0" fontId="2" fillId="3" borderId="0" xfId="0" applyFont="1" applyFill="1" applyProtection="1">
      <protection hidden="1"/>
    </xf>
    <xf numFmtId="3" fontId="2" fillId="2" borderId="37" xfId="0" applyNumberFormat="1" applyFont="1" applyFill="1" applyBorder="1" applyAlignment="1" applyProtection="1">
      <alignment horizontal="center"/>
      <protection hidden="1"/>
    </xf>
    <xf numFmtId="3" fontId="2" fillId="2" borderId="1" xfId="0" applyNumberFormat="1" applyFont="1" applyFill="1" applyBorder="1" applyAlignment="1" applyProtection="1">
      <alignment horizontal="center"/>
      <protection hidden="1"/>
    </xf>
    <xf numFmtId="3" fontId="2" fillId="2" borderId="33" xfId="0" applyNumberFormat="1" applyFont="1" applyFill="1" applyBorder="1" applyAlignment="1" applyProtection="1">
      <alignment horizontal="center"/>
      <protection hidden="1"/>
    </xf>
    <xf numFmtId="164" fontId="2" fillId="2" borderId="37" xfId="0" applyNumberFormat="1" applyFont="1" applyFill="1" applyBorder="1" applyAlignment="1" applyProtection="1">
      <alignment horizontal="center"/>
      <protection hidden="1"/>
    </xf>
    <xf numFmtId="164" fontId="2" fillId="2" borderId="1" xfId="0" applyNumberFormat="1" applyFont="1" applyFill="1" applyBorder="1" applyAlignment="1" applyProtection="1">
      <alignment horizontal="center"/>
      <protection hidden="1"/>
    </xf>
    <xf numFmtId="164" fontId="2" fillId="2" borderId="33" xfId="0" applyNumberFormat="1" applyFont="1" applyFill="1" applyBorder="1" applyAlignment="1" applyProtection="1">
      <alignment horizontal="center"/>
      <protection hidden="1"/>
    </xf>
    <xf numFmtId="169" fontId="2" fillId="2" borderId="38" xfId="0" applyNumberFormat="1" applyFont="1" applyFill="1" applyBorder="1" applyAlignment="1" applyProtection="1">
      <alignment horizontal="center"/>
      <protection hidden="1"/>
    </xf>
    <xf numFmtId="169" fontId="2" fillId="2" borderId="39" xfId="0" applyNumberFormat="1" applyFont="1" applyFill="1" applyBorder="1" applyAlignment="1" applyProtection="1">
      <alignment horizontal="center"/>
      <protection hidden="1"/>
    </xf>
    <xf numFmtId="169" fontId="2" fillId="2" borderId="34" xfId="0" applyNumberFormat="1" applyFont="1" applyFill="1" applyBorder="1" applyAlignment="1" applyProtection="1">
      <alignment horizontal="center"/>
      <protection hidden="1"/>
    </xf>
    <xf numFmtId="0" fontId="2" fillId="3" borderId="0" xfId="0" applyFont="1" applyFill="1" applyAlignment="1" applyProtection="1">
      <alignment horizontal="left"/>
      <protection hidden="1"/>
    </xf>
    <xf numFmtId="0" fontId="24" fillId="5" borderId="40" xfId="2" applyFont="1" applyFill="1" applyBorder="1" applyAlignment="1">
      <alignment horizontal="left" vertical="center" wrapText="1" indent="1"/>
    </xf>
    <xf numFmtId="0" fontId="23" fillId="5" borderId="7" xfId="2" applyFont="1" applyFill="1" applyBorder="1" applyAlignment="1">
      <alignment horizontal="center" vertical="center" wrapText="1"/>
    </xf>
    <xf numFmtId="41" fontId="23" fillId="4" borderId="0" xfId="2" applyNumberFormat="1" applyFont="1" applyFill="1" applyAlignment="1">
      <alignment horizontal="center" vertical="center" wrapText="1"/>
    </xf>
    <xf numFmtId="7" fontId="23" fillId="4" borderId="0" xfId="2" applyNumberFormat="1" applyFont="1" applyFill="1" applyAlignment="1">
      <alignment horizontal="center" vertical="center" wrapText="1"/>
    </xf>
    <xf numFmtId="0" fontId="23" fillId="5" borderId="9" xfId="2" applyFont="1" applyFill="1" applyBorder="1" applyAlignment="1">
      <alignment horizontal="center" vertical="center" wrapText="1"/>
    </xf>
    <xf numFmtId="0" fontId="2" fillId="2" borderId="4" xfId="0" applyFont="1" applyFill="1" applyBorder="1" applyAlignment="1" applyProtection="1">
      <alignment horizontal="center" vertical="center"/>
      <protection hidden="1"/>
    </xf>
    <xf numFmtId="0" fontId="2" fillId="2" borderId="6" xfId="0" applyFont="1" applyFill="1" applyBorder="1" applyAlignment="1" applyProtection="1">
      <alignment horizontal="center" vertical="center"/>
      <protection hidden="1"/>
    </xf>
    <xf numFmtId="0" fontId="0" fillId="3" borderId="30" xfId="0" applyFill="1" applyBorder="1" applyAlignment="1" applyProtection="1">
      <alignment horizontal="center"/>
      <protection locked="0"/>
    </xf>
    <xf numFmtId="0" fontId="0" fillId="3" borderId="7" xfId="0" applyFill="1" applyBorder="1" applyAlignment="1" applyProtection="1">
      <alignment horizontal="center"/>
      <protection locked="0"/>
    </xf>
    <xf numFmtId="0" fontId="0" fillId="3" borderId="31" xfId="0" applyFill="1" applyBorder="1" applyAlignment="1" applyProtection="1">
      <alignment horizontal="center"/>
      <protection locked="0"/>
    </xf>
    <xf numFmtId="9" fontId="0" fillId="3" borderId="30" xfId="0" applyNumberFormat="1" applyFill="1" applyBorder="1" applyAlignment="1" applyProtection="1">
      <alignment horizontal="center"/>
      <protection locked="0"/>
    </xf>
    <xf numFmtId="9" fontId="0" fillId="3" borderId="7" xfId="0" applyNumberFormat="1" applyFill="1" applyBorder="1" applyAlignment="1" applyProtection="1">
      <alignment horizontal="center"/>
      <protection locked="0"/>
    </xf>
    <xf numFmtId="9" fontId="0" fillId="3" borderId="31" xfId="0" applyNumberFormat="1" applyFill="1" applyBorder="1" applyAlignment="1" applyProtection="1">
      <alignment horizontal="center"/>
      <protection locked="0"/>
    </xf>
    <xf numFmtId="9" fontId="0" fillId="3" borderId="38" xfId="0" applyNumberFormat="1" applyFill="1" applyBorder="1" applyAlignment="1" applyProtection="1">
      <alignment horizontal="center"/>
      <protection locked="0"/>
    </xf>
    <xf numFmtId="9" fontId="0" fillId="3" borderId="39" xfId="0" applyNumberFormat="1" applyFill="1" applyBorder="1" applyAlignment="1" applyProtection="1">
      <alignment horizontal="center"/>
      <protection locked="0"/>
    </xf>
    <xf numFmtId="9" fontId="0" fillId="3" borderId="34" xfId="0" applyNumberFormat="1" applyFill="1" applyBorder="1" applyAlignment="1" applyProtection="1">
      <alignment horizontal="center"/>
      <protection locked="0"/>
    </xf>
    <xf numFmtId="2" fontId="0" fillId="3" borderId="30" xfId="0" applyNumberFormat="1" applyFill="1" applyBorder="1" applyAlignment="1" applyProtection="1">
      <alignment horizontal="center"/>
      <protection locked="0"/>
    </xf>
    <xf numFmtId="2" fontId="0" fillId="3" borderId="7" xfId="0" applyNumberFormat="1" applyFill="1" applyBorder="1" applyAlignment="1" applyProtection="1">
      <alignment horizontal="center"/>
      <protection locked="0"/>
    </xf>
    <xf numFmtId="2" fontId="0" fillId="3" borderId="31" xfId="0" applyNumberFormat="1" applyFill="1" applyBorder="1" applyAlignment="1" applyProtection="1">
      <alignment horizontal="center"/>
      <protection locked="0"/>
    </xf>
    <xf numFmtId="16" fontId="0" fillId="3" borderId="1" xfId="0" applyNumberFormat="1" applyFill="1" applyBorder="1" applyAlignment="1" applyProtection="1">
      <alignment horizontal="center" vertical="center"/>
      <protection hidden="1"/>
    </xf>
    <xf numFmtId="3" fontId="0" fillId="3" borderId="37" xfId="0" applyNumberFormat="1" applyFill="1" applyBorder="1" applyAlignment="1" applyProtection="1">
      <alignment horizontal="center"/>
      <protection locked="0"/>
    </xf>
    <xf numFmtId="3" fontId="0" fillId="3" borderId="1" xfId="0" applyNumberFormat="1" applyFill="1" applyBorder="1" applyAlignment="1" applyProtection="1">
      <alignment horizontal="center"/>
      <protection locked="0"/>
    </xf>
    <xf numFmtId="3" fontId="0" fillId="3" borderId="33" xfId="0" applyNumberFormat="1" applyFill="1" applyBorder="1" applyAlignment="1" applyProtection="1">
      <alignment horizontal="center"/>
      <protection locked="0"/>
    </xf>
    <xf numFmtId="0" fontId="2" fillId="3" borderId="0" xfId="0" applyFont="1" applyFill="1" applyAlignment="1" applyProtection="1">
      <alignment horizontal="left" vertical="center"/>
      <protection hidden="1"/>
    </xf>
    <xf numFmtId="2" fontId="0" fillId="2" borderId="43" xfId="0" applyNumberFormat="1" applyFill="1" applyBorder="1" applyAlignment="1" applyProtection="1">
      <alignment horizontal="center"/>
      <protection hidden="1"/>
    </xf>
    <xf numFmtId="2" fontId="0" fillId="2" borderId="44" xfId="0" applyNumberFormat="1" applyFill="1" applyBorder="1" applyAlignment="1" applyProtection="1">
      <alignment horizontal="center"/>
      <protection hidden="1"/>
    </xf>
    <xf numFmtId="2" fontId="0" fillId="2" borderId="45" xfId="0" applyNumberFormat="1" applyFill="1" applyBorder="1" applyAlignment="1" applyProtection="1">
      <alignment horizontal="center"/>
      <protection hidden="1"/>
    </xf>
    <xf numFmtId="9" fontId="0" fillId="2" borderId="30" xfId="0" applyNumberFormat="1" applyFill="1" applyBorder="1" applyAlignment="1" applyProtection="1">
      <alignment horizontal="center"/>
      <protection hidden="1"/>
    </xf>
    <xf numFmtId="9" fontId="0" fillId="2" borderId="7" xfId="0" applyNumberFormat="1" applyFill="1" applyBorder="1" applyAlignment="1" applyProtection="1">
      <alignment horizontal="center"/>
      <protection hidden="1"/>
    </xf>
    <xf numFmtId="9" fontId="0" fillId="2" borderId="31" xfId="0" applyNumberFormat="1" applyFill="1" applyBorder="1" applyAlignment="1" applyProtection="1">
      <alignment horizontal="center"/>
      <protection hidden="1"/>
    </xf>
    <xf numFmtId="2" fontId="0" fillId="2" borderId="30" xfId="0" applyNumberFormat="1" applyFill="1" applyBorder="1" applyAlignment="1" applyProtection="1">
      <alignment horizontal="center"/>
      <protection hidden="1"/>
    </xf>
    <xf numFmtId="2" fontId="0" fillId="2" borderId="7" xfId="0" applyNumberFormat="1" applyFill="1" applyBorder="1" applyAlignment="1" applyProtection="1">
      <alignment horizontal="center"/>
      <protection hidden="1"/>
    </xf>
    <xf numFmtId="2" fontId="0" fillId="2" borderId="31" xfId="0" applyNumberFormat="1" applyFill="1" applyBorder="1" applyAlignment="1" applyProtection="1">
      <alignment horizontal="center"/>
      <protection hidden="1"/>
    </xf>
    <xf numFmtId="9" fontId="0" fillId="2" borderId="38" xfId="0" applyNumberFormat="1" applyFill="1" applyBorder="1" applyAlignment="1" applyProtection="1">
      <alignment horizontal="center"/>
      <protection hidden="1"/>
    </xf>
    <xf numFmtId="9" fontId="0" fillId="2" borderId="39" xfId="0" applyNumberFormat="1" applyFill="1" applyBorder="1" applyAlignment="1" applyProtection="1">
      <alignment horizontal="center"/>
      <protection hidden="1"/>
    </xf>
    <xf numFmtId="9" fontId="0" fillId="2" borderId="34" xfId="0" applyNumberFormat="1" applyFill="1" applyBorder="1" applyAlignment="1" applyProtection="1">
      <alignment horizontal="center"/>
      <protection hidden="1"/>
    </xf>
    <xf numFmtId="3" fontId="0" fillId="3" borderId="30" xfId="0" applyNumberFormat="1" applyFill="1" applyBorder="1" applyAlignment="1" applyProtection="1">
      <alignment horizontal="center"/>
      <protection locked="0"/>
    </xf>
    <xf numFmtId="3" fontId="0" fillId="3" borderId="7" xfId="0" applyNumberFormat="1" applyFill="1" applyBorder="1" applyAlignment="1" applyProtection="1">
      <alignment horizontal="center"/>
      <protection locked="0"/>
    </xf>
    <xf numFmtId="3" fontId="0" fillId="3" borderId="31" xfId="0" applyNumberFormat="1" applyFill="1" applyBorder="1" applyAlignment="1" applyProtection="1">
      <alignment horizontal="center"/>
      <protection locked="0"/>
    </xf>
    <xf numFmtId="3" fontId="0" fillId="2" borderId="30" xfId="0" applyNumberFormat="1" applyFill="1" applyBorder="1" applyAlignment="1" applyProtection="1">
      <alignment horizontal="center"/>
      <protection hidden="1"/>
    </xf>
    <xf numFmtId="3" fontId="0" fillId="2" borderId="7" xfId="0" applyNumberFormat="1" applyFill="1" applyBorder="1" applyAlignment="1" applyProtection="1">
      <alignment horizontal="center"/>
      <protection hidden="1"/>
    </xf>
    <xf numFmtId="3" fontId="0" fillId="2" borderId="31" xfId="0" applyNumberFormat="1" applyFill="1" applyBorder="1" applyAlignment="1" applyProtection="1">
      <alignment horizontal="center"/>
      <protection hidden="1"/>
    </xf>
    <xf numFmtId="164" fontId="0" fillId="3" borderId="0" xfId="0" applyNumberFormat="1" applyFill="1" applyAlignment="1" applyProtection="1">
      <alignment horizontal="center"/>
      <protection hidden="1"/>
    </xf>
    <xf numFmtId="9" fontId="0" fillId="3" borderId="1" xfId="0" applyNumberFormat="1" applyFill="1" applyBorder="1" applyAlignment="1" applyProtection="1">
      <alignment horizontal="center" vertical="center"/>
      <protection hidden="1"/>
    </xf>
    <xf numFmtId="1" fontId="0" fillId="3" borderId="30" xfId="0" applyNumberFormat="1" applyFill="1" applyBorder="1" applyAlignment="1" applyProtection="1">
      <alignment horizontal="center"/>
      <protection locked="0"/>
    </xf>
    <xf numFmtId="1" fontId="0" fillId="3" borderId="7" xfId="0" applyNumberFormat="1" applyFill="1" applyBorder="1" applyAlignment="1" applyProtection="1">
      <alignment horizontal="center"/>
      <protection locked="0"/>
    </xf>
    <xf numFmtId="1" fontId="0" fillId="3" borderId="31" xfId="0" applyNumberFormat="1" applyFill="1" applyBorder="1" applyAlignment="1" applyProtection="1">
      <alignment horizontal="center"/>
      <protection locked="0"/>
    </xf>
    <xf numFmtId="0" fontId="0" fillId="2" borderId="35" xfId="0" applyFill="1" applyBorder="1" applyAlignment="1" applyProtection="1">
      <alignment horizontal="center"/>
      <protection hidden="1"/>
    </xf>
    <xf numFmtId="0" fontId="0" fillId="2" borderId="36" xfId="0" applyFill="1" applyBorder="1" applyAlignment="1" applyProtection="1">
      <alignment horizontal="center"/>
      <protection hidden="1"/>
    </xf>
    <xf numFmtId="0" fontId="0" fillId="2" borderId="32" xfId="0" applyFill="1" applyBorder="1" applyAlignment="1" applyProtection="1">
      <alignment horizontal="center"/>
      <protection hidden="1"/>
    </xf>
    <xf numFmtId="3" fontId="0" fillId="2" borderId="38" xfId="0" applyNumberFormat="1" applyFill="1" applyBorder="1" applyAlignment="1" applyProtection="1">
      <alignment horizontal="center"/>
      <protection hidden="1"/>
    </xf>
    <xf numFmtId="3" fontId="0" fillId="2" borderId="39" xfId="0" applyNumberFormat="1" applyFill="1" applyBorder="1" applyAlignment="1" applyProtection="1">
      <alignment horizontal="center"/>
      <protection hidden="1"/>
    </xf>
    <xf numFmtId="3" fontId="0" fillId="2" borderId="34" xfId="0" applyNumberFormat="1" applyFill="1" applyBorder="1" applyAlignment="1" applyProtection="1">
      <alignment horizontal="center"/>
      <protection hidden="1"/>
    </xf>
    <xf numFmtId="0" fontId="0" fillId="2" borderId="23" xfId="0" applyFill="1" applyBorder="1" applyAlignment="1" applyProtection="1">
      <alignment horizontal="center"/>
      <protection hidden="1"/>
    </xf>
    <xf numFmtId="0" fontId="0" fillId="2" borderId="46" xfId="0" applyFill="1" applyBorder="1" applyAlignment="1" applyProtection="1">
      <alignment horizontal="center"/>
      <protection hidden="1"/>
    </xf>
    <xf numFmtId="0" fontId="0" fillId="2" borderId="24" xfId="0" applyFill="1" applyBorder="1" applyAlignment="1" applyProtection="1">
      <alignment horizontal="center"/>
      <protection hidden="1"/>
    </xf>
    <xf numFmtId="4" fontId="0" fillId="3" borderId="30" xfId="0" applyNumberFormat="1" applyFill="1" applyBorder="1" applyAlignment="1" applyProtection="1">
      <alignment horizontal="center"/>
      <protection locked="0"/>
    </xf>
    <xf numFmtId="4" fontId="0" fillId="3" borderId="7" xfId="0" applyNumberFormat="1" applyFill="1" applyBorder="1" applyAlignment="1" applyProtection="1">
      <alignment horizontal="center"/>
      <protection locked="0"/>
    </xf>
    <xf numFmtId="4" fontId="0" fillId="3" borderId="31" xfId="0" applyNumberFormat="1" applyFill="1" applyBorder="1" applyAlignment="1" applyProtection="1">
      <alignment horizontal="center"/>
      <protection locked="0"/>
    </xf>
    <xf numFmtId="166" fontId="0" fillId="3" borderId="38" xfId="0" applyNumberFormat="1" applyFill="1" applyBorder="1" applyAlignment="1" applyProtection="1">
      <alignment horizontal="center"/>
      <protection locked="0"/>
    </xf>
    <xf numFmtId="166" fontId="0" fillId="3" borderId="39" xfId="0" applyNumberFormat="1" applyFill="1" applyBorder="1" applyAlignment="1" applyProtection="1">
      <alignment horizontal="center"/>
      <protection locked="0"/>
    </xf>
    <xf numFmtId="166" fontId="0" fillId="3" borderId="34" xfId="0" applyNumberFormat="1" applyFill="1" applyBorder="1" applyAlignment="1" applyProtection="1">
      <alignment horizontal="center"/>
      <protection locked="0"/>
    </xf>
    <xf numFmtId="166" fontId="0" fillId="2" borderId="38" xfId="0" applyNumberFormat="1" applyFill="1" applyBorder="1" applyAlignment="1" applyProtection="1">
      <alignment horizontal="center"/>
      <protection hidden="1"/>
    </xf>
    <xf numFmtId="166" fontId="0" fillId="2" borderId="39" xfId="0" applyNumberFormat="1" applyFill="1" applyBorder="1" applyAlignment="1" applyProtection="1">
      <alignment horizontal="center"/>
      <protection hidden="1"/>
    </xf>
    <xf numFmtId="166" fontId="0" fillId="2" borderId="34" xfId="0" applyNumberFormat="1" applyFill="1" applyBorder="1" applyAlignment="1" applyProtection="1">
      <alignment horizontal="center"/>
      <protection hidden="1"/>
    </xf>
    <xf numFmtId="3" fontId="0" fillId="3" borderId="1" xfId="0" applyNumberFormat="1" applyFill="1" applyBorder="1" applyProtection="1">
      <protection hidden="1"/>
    </xf>
    <xf numFmtId="4" fontId="0" fillId="3" borderId="1" xfId="0" applyNumberFormat="1" applyFill="1" applyBorder="1" applyProtection="1">
      <protection hidden="1"/>
    </xf>
    <xf numFmtId="4" fontId="0" fillId="2" borderId="47" xfId="0" applyNumberFormat="1" applyFill="1" applyBorder="1" applyAlignment="1" applyProtection="1">
      <alignment horizontal="center"/>
      <protection hidden="1"/>
    </xf>
    <xf numFmtId="4" fontId="0" fillId="2" borderId="8" xfId="0" applyNumberFormat="1" applyFill="1" applyBorder="1" applyAlignment="1" applyProtection="1">
      <alignment horizontal="center"/>
      <protection hidden="1"/>
    </xf>
    <xf numFmtId="4" fontId="0" fillId="2" borderId="26" xfId="0" applyNumberFormat="1" applyFill="1" applyBorder="1" applyAlignment="1" applyProtection="1">
      <alignment horizontal="center"/>
      <protection hidden="1"/>
    </xf>
    <xf numFmtId="4" fontId="0" fillId="2" borderId="35" xfId="0" applyNumberFormat="1" applyFill="1" applyBorder="1" applyAlignment="1" applyProtection="1">
      <alignment horizontal="center"/>
      <protection hidden="1"/>
    </xf>
    <xf numFmtId="4" fontId="0" fillId="2" borderId="36" xfId="0" applyNumberFormat="1" applyFill="1" applyBorder="1" applyAlignment="1" applyProtection="1">
      <alignment horizontal="center"/>
      <protection hidden="1"/>
    </xf>
    <xf numFmtId="4" fontId="0" fillId="2" borderId="32" xfId="0" applyNumberFormat="1" applyFill="1" applyBorder="1" applyAlignment="1" applyProtection="1">
      <alignment horizontal="center"/>
      <protection hidden="1"/>
    </xf>
    <xf numFmtId="3" fontId="0" fillId="3" borderId="0" xfId="0" applyNumberFormat="1" applyFill="1" applyProtection="1">
      <protection hidden="1"/>
    </xf>
    <xf numFmtId="3" fontId="2" fillId="2" borderId="1" xfId="0" applyNumberFormat="1" applyFont="1" applyFill="1" applyBorder="1" applyAlignment="1" applyProtection="1">
      <alignment horizontal="center" vertical="center"/>
      <protection hidden="1"/>
    </xf>
    <xf numFmtId="2" fontId="0" fillId="2" borderId="38" xfId="0" applyNumberFormat="1" applyFill="1" applyBorder="1" applyAlignment="1" applyProtection="1">
      <alignment horizontal="center"/>
      <protection hidden="1"/>
    </xf>
    <xf numFmtId="2" fontId="0" fillId="2" borderId="39" xfId="0" applyNumberFormat="1" applyFill="1" applyBorder="1" applyAlignment="1" applyProtection="1">
      <alignment horizontal="center"/>
      <protection hidden="1"/>
    </xf>
    <xf numFmtId="2" fontId="0" fillId="2" borderId="34" xfId="0" applyNumberFormat="1" applyFill="1" applyBorder="1" applyAlignment="1" applyProtection="1">
      <alignment horizontal="center"/>
      <protection hidden="1"/>
    </xf>
    <xf numFmtId="2" fontId="0" fillId="3" borderId="38" xfId="0" applyNumberFormat="1" applyFill="1" applyBorder="1" applyAlignment="1" applyProtection="1">
      <alignment horizontal="center"/>
      <protection locked="0"/>
    </xf>
    <xf numFmtId="2" fontId="0" fillId="3" borderId="39" xfId="0" applyNumberFormat="1" applyFill="1" applyBorder="1" applyAlignment="1" applyProtection="1">
      <alignment horizontal="center"/>
      <protection locked="0"/>
    </xf>
    <xf numFmtId="2" fontId="0" fillId="3" borderId="34" xfId="0" applyNumberFormat="1" applyFill="1" applyBorder="1" applyAlignment="1" applyProtection="1">
      <alignment horizontal="center"/>
      <protection locked="0"/>
    </xf>
    <xf numFmtId="1" fontId="0" fillId="3" borderId="1" xfId="0" applyNumberFormat="1" applyFill="1" applyBorder="1" applyAlignment="1" applyProtection="1">
      <alignment horizontal="center"/>
      <protection hidden="1"/>
    </xf>
    <xf numFmtId="0" fontId="0" fillId="3" borderId="1" xfId="0" applyFill="1" applyBorder="1" applyAlignment="1" applyProtection="1">
      <alignment vertical="center"/>
      <protection hidden="1"/>
    </xf>
    <xf numFmtId="3" fontId="0" fillId="2" borderId="1" xfId="0" applyNumberFormat="1" applyFill="1" applyBorder="1" applyAlignment="1" applyProtection="1">
      <alignment horizontal="center" vertical="center"/>
      <protection hidden="1"/>
    </xf>
    <xf numFmtId="44" fontId="0" fillId="3" borderId="0" xfId="0" applyNumberFormat="1" applyFill="1" applyProtection="1">
      <protection hidden="1"/>
    </xf>
    <xf numFmtId="44" fontId="0" fillId="3" borderId="1" xfId="0" applyNumberFormat="1" applyFill="1" applyBorder="1" applyAlignment="1" applyProtection="1">
      <alignment horizontal="center" vertical="center"/>
      <protection hidden="1"/>
    </xf>
    <xf numFmtId="44" fontId="0" fillId="2" borderId="1" xfId="0" applyNumberFormat="1" applyFill="1" applyBorder="1" applyAlignment="1" applyProtection="1">
      <alignment horizontal="center" vertical="center"/>
      <protection hidden="1"/>
    </xf>
    <xf numFmtId="2" fontId="0" fillId="3" borderId="0" xfId="0" applyNumberFormat="1" applyFill="1" applyProtection="1">
      <protection hidden="1"/>
    </xf>
    <xf numFmtId="2" fontId="2" fillId="2" borderId="1" xfId="0" applyNumberFormat="1" applyFont="1" applyFill="1" applyBorder="1" applyAlignment="1" applyProtection="1">
      <alignment horizontal="center" vertical="center"/>
      <protection hidden="1"/>
    </xf>
    <xf numFmtId="2" fontId="0" fillId="3" borderId="1" xfId="0" applyNumberFormat="1" applyFill="1" applyBorder="1" applyAlignment="1" applyProtection="1">
      <alignment horizontal="center" vertical="center"/>
      <protection hidden="1"/>
    </xf>
    <xf numFmtId="2" fontId="0" fillId="2" borderId="1" xfId="0" applyNumberFormat="1" applyFill="1" applyBorder="1" applyAlignment="1" applyProtection="1">
      <alignment horizontal="center" vertical="center"/>
      <protection hidden="1"/>
    </xf>
    <xf numFmtId="169" fontId="6" fillId="0" borderId="3" xfId="2" applyNumberFormat="1" applyBorder="1" applyAlignment="1">
      <alignment horizontal="center" vertical="center"/>
    </xf>
    <xf numFmtId="168" fontId="6" fillId="0" borderId="35" xfId="2" applyNumberFormat="1" applyBorder="1" applyAlignment="1" applyProtection="1">
      <alignment horizontal="center" vertical="center"/>
      <protection hidden="1"/>
    </xf>
    <xf numFmtId="41" fontId="6" fillId="0" borderId="36" xfId="2" applyNumberFormat="1" applyBorder="1" applyAlignment="1" applyProtection="1">
      <alignment horizontal="center" vertical="center"/>
      <protection hidden="1"/>
    </xf>
    <xf numFmtId="44" fontId="6" fillId="0" borderId="41" xfId="2" applyNumberFormat="1" applyBorder="1" applyAlignment="1" applyProtection="1">
      <alignment horizontal="center" vertical="center"/>
      <protection hidden="1"/>
    </xf>
    <xf numFmtId="169" fontId="6" fillId="4" borderId="32" xfId="2" applyNumberFormat="1" applyFill="1" applyBorder="1" applyAlignment="1" applyProtection="1">
      <alignment horizontal="center" vertical="center"/>
      <protection hidden="1"/>
    </xf>
    <xf numFmtId="168" fontId="6" fillId="0" borderId="37" xfId="2" applyNumberFormat="1" applyBorder="1" applyAlignment="1" applyProtection="1">
      <alignment horizontal="center" vertical="center"/>
      <protection hidden="1"/>
    </xf>
    <xf numFmtId="41" fontId="6" fillId="0" borderId="1" xfId="2" applyNumberFormat="1" applyBorder="1" applyAlignment="1" applyProtection="1">
      <alignment horizontal="center" vertical="center"/>
      <protection hidden="1"/>
    </xf>
    <xf numFmtId="44" fontId="6" fillId="0" borderId="4" xfId="2" applyNumberFormat="1" applyBorder="1" applyAlignment="1" applyProtection="1">
      <alignment horizontal="center" vertical="center"/>
      <protection hidden="1"/>
    </xf>
    <xf numFmtId="169" fontId="6" fillId="4" borderId="33" xfId="2" applyNumberFormat="1" applyFill="1" applyBorder="1" applyAlignment="1" applyProtection="1">
      <alignment horizontal="center" vertical="center"/>
      <protection hidden="1"/>
    </xf>
    <xf numFmtId="168" fontId="6" fillId="0" borderId="30" xfId="2" applyNumberFormat="1" applyBorder="1" applyAlignment="1" applyProtection="1">
      <alignment horizontal="center" vertical="center"/>
      <protection hidden="1"/>
    </xf>
    <xf numFmtId="41" fontId="6" fillId="0" borderId="7" xfId="2" applyNumberFormat="1" applyBorder="1" applyAlignment="1" applyProtection="1">
      <alignment horizontal="center" vertical="center"/>
      <protection hidden="1"/>
    </xf>
    <xf numFmtId="44" fontId="6" fillId="0" borderId="9" xfId="2" applyNumberFormat="1" applyBorder="1" applyAlignment="1" applyProtection="1">
      <alignment horizontal="center" vertical="center"/>
      <protection hidden="1"/>
    </xf>
    <xf numFmtId="168" fontId="6" fillId="3" borderId="30" xfId="2" applyNumberFormat="1" applyFill="1" applyBorder="1" applyAlignment="1" applyProtection="1">
      <alignment horizontal="center" vertical="center"/>
      <protection hidden="1"/>
    </xf>
    <xf numFmtId="41" fontId="6" fillId="3" borderId="7" xfId="2" applyNumberFormat="1" applyFill="1" applyBorder="1" applyAlignment="1" applyProtection="1">
      <alignment horizontal="center" vertical="center"/>
      <protection hidden="1"/>
    </xf>
    <xf numFmtId="44" fontId="6" fillId="3" borderId="9" xfId="2" applyNumberFormat="1" applyFill="1" applyBorder="1" applyAlignment="1" applyProtection="1">
      <alignment horizontal="center" vertical="center"/>
      <protection hidden="1"/>
    </xf>
    <xf numFmtId="168" fontId="6" fillId="3" borderId="38" xfId="2" applyNumberFormat="1" applyFill="1" applyBorder="1" applyAlignment="1" applyProtection="1">
      <alignment horizontal="center" vertical="center"/>
      <protection hidden="1"/>
    </xf>
    <xf numFmtId="41" fontId="6" fillId="3" borderId="39" xfId="2" applyNumberFormat="1" applyFill="1" applyBorder="1" applyAlignment="1" applyProtection="1">
      <alignment horizontal="center" vertical="center"/>
      <protection hidden="1"/>
    </xf>
    <xf numFmtId="44" fontId="6" fillId="3" borderId="42" xfId="2" applyNumberFormat="1" applyFill="1" applyBorder="1" applyAlignment="1" applyProtection="1">
      <alignment horizontal="center" vertical="center"/>
      <protection hidden="1"/>
    </xf>
    <xf numFmtId="169" fontId="6" fillId="4" borderId="34" xfId="2" applyNumberFormat="1" applyFill="1" applyBorder="1" applyAlignment="1" applyProtection="1">
      <alignment horizontal="center" vertical="center"/>
      <protection hidden="1"/>
    </xf>
    <xf numFmtId="43" fontId="6" fillId="4" borderId="15" xfId="2" applyNumberFormat="1" applyFill="1" applyBorder="1" applyAlignment="1" applyProtection="1">
      <alignment horizontal="center" vertical="center" wrapText="1"/>
      <protection hidden="1"/>
    </xf>
    <xf numFmtId="41" fontId="6" fillId="4" borderId="26" xfId="2" applyNumberFormat="1" applyFill="1" applyBorder="1" applyAlignment="1" applyProtection="1">
      <alignment horizontal="center" vertical="center" wrapText="1"/>
      <protection hidden="1"/>
    </xf>
    <xf numFmtId="4" fontId="0" fillId="3" borderId="1" xfId="1" applyNumberFormat="1" applyFont="1" applyFill="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3" borderId="4" xfId="0" applyFill="1" applyBorder="1" applyAlignment="1" applyProtection="1">
      <alignment horizontal="center"/>
      <protection hidden="1"/>
    </xf>
    <xf numFmtId="4" fontId="0" fillId="3" borderId="6" xfId="0" applyNumberFormat="1" applyFill="1" applyBorder="1" applyProtection="1">
      <protection hidden="1"/>
    </xf>
    <xf numFmtId="0" fontId="2" fillId="2" borderId="51" xfId="0" applyFont="1" applyFill="1" applyBorder="1" applyAlignment="1" applyProtection="1">
      <alignment horizontal="center" vertical="center"/>
      <protection hidden="1"/>
    </xf>
    <xf numFmtId="0" fontId="2" fillId="2" borderId="52" xfId="0" applyFont="1" applyFill="1" applyBorder="1" applyAlignment="1" applyProtection="1">
      <alignment horizontal="center" vertical="center"/>
      <protection hidden="1"/>
    </xf>
    <xf numFmtId="4" fontId="0" fillId="3" borderId="51" xfId="0" applyNumberFormat="1" applyFill="1" applyBorder="1" applyProtection="1">
      <protection hidden="1"/>
    </xf>
    <xf numFmtId="166" fontId="0" fillId="3" borderId="52" xfId="0" applyNumberFormat="1" applyFill="1" applyBorder="1" applyProtection="1">
      <protection hidden="1"/>
    </xf>
    <xf numFmtId="4" fontId="0" fillId="3" borderId="53" xfId="0" applyNumberFormat="1" applyFill="1" applyBorder="1" applyProtection="1">
      <protection hidden="1"/>
    </xf>
    <xf numFmtId="4" fontId="0" fillId="3" borderId="54" xfId="0" applyNumberFormat="1" applyFill="1" applyBorder="1" applyProtection="1">
      <protection hidden="1"/>
    </xf>
    <xf numFmtId="166" fontId="0" fillId="3" borderId="55" xfId="0" applyNumberFormat="1" applyFill="1" applyBorder="1" applyProtection="1">
      <protection hidden="1"/>
    </xf>
    <xf numFmtId="166" fontId="0" fillId="3" borderId="4" xfId="0" applyNumberFormat="1" applyFill="1" applyBorder="1" applyProtection="1">
      <protection hidden="1"/>
    </xf>
    <xf numFmtId="0" fontId="2" fillId="2" borderId="59" xfId="0" applyFont="1" applyFill="1" applyBorder="1" applyAlignment="1" applyProtection="1">
      <alignment horizontal="center" vertical="center"/>
      <protection hidden="1"/>
    </xf>
    <xf numFmtId="0" fontId="2" fillId="2" borderId="60" xfId="0" applyFont="1" applyFill="1" applyBorder="1" applyAlignment="1" applyProtection="1">
      <alignment horizontal="center" vertical="center"/>
      <protection hidden="1"/>
    </xf>
    <xf numFmtId="4" fontId="0" fillId="3" borderId="59" xfId="0" applyNumberFormat="1" applyFill="1" applyBorder="1" applyProtection="1">
      <protection hidden="1"/>
    </xf>
    <xf numFmtId="166" fontId="0" fillId="3" borderId="60" xfId="0" applyNumberFormat="1" applyFill="1" applyBorder="1" applyProtection="1">
      <protection hidden="1"/>
    </xf>
    <xf numFmtId="4" fontId="0" fillId="3" borderId="61" xfId="0" applyNumberFormat="1" applyFill="1" applyBorder="1" applyProtection="1">
      <protection hidden="1"/>
    </xf>
    <xf numFmtId="4" fontId="0" fillId="3" borderId="62" xfId="0" applyNumberFormat="1" applyFill="1" applyBorder="1" applyProtection="1">
      <protection hidden="1"/>
    </xf>
    <xf numFmtId="166" fontId="0" fillId="3" borderId="63" xfId="0" applyNumberFormat="1" applyFill="1" applyBorder="1" applyProtection="1">
      <protection hidden="1"/>
    </xf>
    <xf numFmtId="0" fontId="2" fillId="2" borderId="67" xfId="0" applyFont="1" applyFill="1" applyBorder="1" applyAlignment="1" applyProtection="1">
      <alignment horizontal="center" vertical="center"/>
      <protection hidden="1"/>
    </xf>
    <xf numFmtId="0" fontId="2" fillId="2" borderId="68" xfId="0" applyFont="1" applyFill="1" applyBorder="1" applyAlignment="1" applyProtection="1">
      <alignment horizontal="center" vertical="center"/>
      <protection hidden="1"/>
    </xf>
    <xf numFmtId="4" fontId="0" fillId="3" borderId="67" xfId="0" applyNumberFormat="1" applyFill="1" applyBorder="1" applyProtection="1">
      <protection hidden="1"/>
    </xf>
    <xf numFmtId="166" fontId="0" fillId="3" borderId="68" xfId="0" applyNumberFormat="1" applyFill="1" applyBorder="1" applyProtection="1">
      <protection hidden="1"/>
    </xf>
    <xf numFmtId="4" fontId="0" fillId="3" borderId="69" xfId="0" applyNumberFormat="1" applyFill="1" applyBorder="1" applyProtection="1">
      <protection hidden="1"/>
    </xf>
    <xf numFmtId="4" fontId="0" fillId="3" borderId="70" xfId="0" applyNumberFormat="1" applyFill="1" applyBorder="1" applyProtection="1">
      <protection hidden="1"/>
    </xf>
    <xf numFmtId="166" fontId="0" fillId="3" borderId="71" xfId="0" applyNumberFormat="1" applyFill="1" applyBorder="1" applyProtection="1">
      <protection hidden="1"/>
    </xf>
    <xf numFmtId="0" fontId="9" fillId="4" borderId="0" xfId="0" applyFont="1" applyFill="1" applyAlignment="1">
      <alignment horizontal="center" vertical="center"/>
    </xf>
    <xf numFmtId="0" fontId="12" fillId="4" borderId="0" xfId="0" applyFont="1" applyFill="1" applyAlignment="1" applyProtection="1">
      <alignment horizontal="center" vertical="center"/>
      <protection hidden="1"/>
    </xf>
    <xf numFmtId="0" fontId="16" fillId="4" borderId="17" xfId="0" applyFont="1" applyFill="1" applyBorder="1" applyAlignment="1" applyProtection="1">
      <alignment horizontal="left" indent="1"/>
      <protection locked="0"/>
    </xf>
    <xf numFmtId="0" fontId="16" fillId="4" borderId="18" xfId="0" applyFont="1" applyFill="1" applyBorder="1" applyAlignment="1" applyProtection="1">
      <alignment horizontal="left" indent="1"/>
      <protection locked="0"/>
    </xf>
    <xf numFmtId="0" fontId="17" fillId="4" borderId="1" xfId="0" applyFont="1" applyFill="1" applyBorder="1" applyAlignment="1">
      <alignment horizontal="center" vertical="center"/>
    </xf>
    <xf numFmtId="0" fontId="8" fillId="4" borderId="1" xfId="0" applyFont="1" applyFill="1" applyBorder="1" applyAlignment="1">
      <alignment horizontal="center" vertical="center"/>
    </xf>
    <xf numFmtId="4" fontId="18" fillId="4" borderId="1" xfId="0" applyNumberFormat="1" applyFont="1" applyFill="1" applyBorder="1" applyAlignment="1" applyProtection="1">
      <alignment horizontal="center" vertical="center"/>
      <protection hidden="1"/>
    </xf>
    <xf numFmtId="3" fontId="12" fillId="4" borderId="1" xfId="0" applyNumberFormat="1" applyFont="1" applyFill="1" applyBorder="1" applyAlignment="1" applyProtection="1">
      <alignment horizontal="center" vertical="center"/>
      <protection hidden="1"/>
    </xf>
    <xf numFmtId="164" fontId="12" fillId="3" borderId="1" xfId="0" applyNumberFormat="1" applyFont="1" applyFill="1" applyBorder="1" applyAlignment="1" applyProtection="1">
      <alignment horizontal="center" vertical="center"/>
      <protection hidden="1"/>
    </xf>
    <xf numFmtId="0" fontId="7" fillId="4" borderId="0" xfId="0" applyFont="1" applyFill="1" applyAlignment="1">
      <alignment horizontal="left" vertical="center" wrapText="1"/>
    </xf>
    <xf numFmtId="0" fontId="21" fillId="5" borderId="22" xfId="2" applyFont="1" applyFill="1" applyBorder="1" applyAlignment="1">
      <alignment horizontal="center" vertical="center" wrapText="1"/>
    </xf>
    <xf numFmtId="0" fontId="21" fillId="5" borderId="25" xfId="2" applyFont="1" applyFill="1" applyBorder="1" applyAlignment="1">
      <alignment horizontal="center" vertical="center" wrapText="1"/>
    </xf>
    <xf numFmtId="44" fontId="6" fillId="4" borderId="28" xfId="2" applyNumberFormat="1" applyFill="1" applyBorder="1" applyAlignment="1" applyProtection="1">
      <alignment horizontal="center" vertical="center" wrapText="1"/>
      <protection hidden="1"/>
    </xf>
    <xf numFmtId="7" fontId="6" fillId="4" borderId="29" xfId="2" applyNumberFormat="1" applyFill="1" applyBorder="1" applyAlignment="1" applyProtection="1">
      <alignment horizontal="center" vertical="center" wrapText="1"/>
      <protection hidden="1"/>
    </xf>
    <xf numFmtId="0" fontId="20" fillId="5" borderId="19" xfId="2" applyFont="1" applyFill="1" applyBorder="1" applyAlignment="1">
      <alignment horizontal="center" vertical="center"/>
    </xf>
    <xf numFmtId="0" fontId="20" fillId="5" borderId="20" xfId="2" applyFont="1" applyFill="1" applyBorder="1" applyAlignment="1">
      <alignment horizontal="center" vertical="center"/>
    </xf>
    <xf numFmtId="0" fontId="20" fillId="5" borderId="21" xfId="2" applyFont="1" applyFill="1" applyBorder="1" applyAlignment="1">
      <alignment horizontal="center" vertical="center"/>
    </xf>
    <xf numFmtId="0" fontId="23" fillId="5" borderId="35" xfId="2" applyFont="1" applyFill="1" applyBorder="1" applyAlignment="1">
      <alignment horizontal="center" vertical="center"/>
    </xf>
    <xf numFmtId="0" fontId="23" fillId="5" borderId="36" xfId="2" applyFont="1" applyFill="1" applyBorder="1" applyAlignment="1">
      <alignment horizontal="center" vertical="center"/>
    </xf>
    <xf numFmtId="0" fontId="23" fillId="5" borderId="41" xfId="2" applyFont="1" applyFill="1" applyBorder="1" applyAlignment="1">
      <alignment horizontal="center" vertical="center"/>
    </xf>
    <xf numFmtId="0" fontId="23" fillId="5" borderId="32" xfId="2" applyFont="1" applyFill="1" applyBorder="1" applyAlignment="1">
      <alignment horizontal="center" vertical="center"/>
    </xf>
    <xf numFmtId="0" fontId="23" fillId="5" borderId="37" xfId="2" applyFont="1" applyFill="1" applyBorder="1" applyAlignment="1">
      <alignment horizontal="center" vertical="center"/>
    </xf>
    <xf numFmtId="0" fontId="23" fillId="5" borderId="1" xfId="2" applyFont="1" applyFill="1" applyBorder="1" applyAlignment="1">
      <alignment horizontal="center" vertical="center"/>
    </xf>
    <xf numFmtId="0" fontId="23" fillId="5" borderId="4" xfId="2" applyFont="1" applyFill="1" applyBorder="1" applyAlignment="1">
      <alignment horizontal="center" vertical="center"/>
    </xf>
    <xf numFmtId="0" fontId="23" fillId="5" borderId="33" xfId="2" applyFont="1" applyFill="1" applyBorder="1" applyAlignment="1">
      <alignment horizontal="center" vertical="center"/>
    </xf>
    <xf numFmtId="0" fontId="3" fillId="3" borderId="9"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10" xfId="0" applyFont="1" applyFill="1" applyBorder="1" applyAlignment="1">
      <alignment horizontal="left" vertical="center" wrapText="1"/>
    </xf>
    <xf numFmtId="0" fontId="3" fillId="3" borderId="11"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15" xfId="0" applyFont="1" applyFill="1" applyBorder="1" applyAlignment="1">
      <alignment horizontal="left" vertical="center" wrapText="1"/>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4" fillId="2" borderId="1" xfId="0" applyFont="1" applyFill="1" applyBorder="1" applyAlignment="1">
      <alignment horizontal="center" vertical="center"/>
    </xf>
    <xf numFmtId="0" fontId="3" fillId="3" borderId="7"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2"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16" xfId="0" applyFont="1" applyFill="1" applyBorder="1" applyAlignment="1">
      <alignment horizontal="left" vertical="center" wrapText="1"/>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3" borderId="1" xfId="0" applyFont="1" applyFill="1" applyBorder="1" applyAlignment="1">
      <alignment horizontal="left"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3" fillId="3" borderId="12" xfId="0" applyFont="1" applyFill="1" applyBorder="1" applyAlignment="1">
      <alignment horizontal="center" vertical="center" wrapText="1"/>
    </xf>
    <xf numFmtId="0" fontId="2" fillId="3" borderId="0" xfId="0" applyFont="1" applyFill="1" applyAlignment="1">
      <alignment horizontal="left" vertical="center"/>
    </xf>
    <xf numFmtId="0" fontId="2" fillId="3" borderId="0" xfId="0" applyFont="1" applyFill="1" applyAlignment="1" applyProtection="1">
      <alignment horizontal="left" vertical="center"/>
      <protection hidden="1"/>
    </xf>
    <xf numFmtId="0" fontId="4" fillId="2" borderId="1" xfId="0" applyFont="1" applyFill="1" applyBorder="1" applyAlignment="1" applyProtection="1">
      <alignment horizontal="center" wrapText="1"/>
      <protection hidden="1"/>
    </xf>
    <xf numFmtId="0" fontId="2" fillId="2" borderId="1" xfId="0" applyFont="1" applyFill="1" applyBorder="1" applyAlignment="1" applyProtection="1">
      <alignment horizontal="center"/>
      <protection hidden="1"/>
    </xf>
    <xf numFmtId="0" fontId="4" fillId="2" borderId="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protection hidden="1"/>
    </xf>
    <xf numFmtId="0" fontId="2" fillId="2" borderId="48" xfId="0" applyFont="1" applyFill="1" applyBorder="1" applyAlignment="1" applyProtection="1">
      <alignment horizontal="center"/>
      <protection hidden="1"/>
    </xf>
    <xf numFmtId="0" fontId="2" fillId="2" borderId="49" xfId="0" applyFont="1" applyFill="1" applyBorder="1" applyAlignment="1" applyProtection="1">
      <alignment horizontal="center"/>
      <protection hidden="1"/>
    </xf>
    <xf numFmtId="0" fontId="2" fillId="2" borderId="50" xfId="0" applyFont="1" applyFill="1" applyBorder="1" applyAlignment="1" applyProtection="1">
      <alignment horizontal="center"/>
      <protection hidden="1"/>
    </xf>
    <xf numFmtId="0" fontId="2" fillId="2" borderId="6" xfId="0" applyFont="1" applyFill="1" applyBorder="1" applyAlignment="1" applyProtection="1">
      <alignment horizontal="center"/>
      <protection hidden="1"/>
    </xf>
    <xf numFmtId="0" fontId="2" fillId="2" borderId="4" xfId="0" applyFont="1" applyFill="1" applyBorder="1" applyAlignment="1" applyProtection="1">
      <alignment horizontal="center"/>
      <protection hidden="1"/>
    </xf>
    <xf numFmtId="0" fontId="2" fillId="2" borderId="7" xfId="0" applyFont="1" applyFill="1" applyBorder="1" applyAlignment="1" applyProtection="1">
      <alignment horizontal="center" vertical="center"/>
      <protection hidden="1"/>
    </xf>
    <xf numFmtId="0" fontId="2" fillId="2" borderId="8" xfId="0" applyFont="1" applyFill="1" applyBorder="1" applyAlignment="1" applyProtection="1">
      <alignment horizontal="center" vertical="center"/>
      <protection hidden="1"/>
    </xf>
    <xf numFmtId="0" fontId="0" fillId="3" borderId="9" xfId="0" applyFill="1" applyBorder="1" applyAlignment="1" applyProtection="1">
      <alignment horizontal="center" vertical="center" wrapText="1"/>
      <protection hidden="1"/>
    </xf>
    <xf numFmtId="0" fontId="0" fillId="3" borderId="11" xfId="0" applyFill="1" applyBorder="1" applyAlignment="1" applyProtection="1">
      <alignment horizontal="center" vertical="center" wrapText="1"/>
      <protection hidden="1"/>
    </xf>
    <xf numFmtId="0" fontId="0" fillId="0" borderId="4" xfId="0" applyBorder="1" applyAlignment="1" applyProtection="1">
      <alignment horizontal="center" vertical="center" wrapText="1"/>
      <protection hidden="1"/>
    </xf>
    <xf numFmtId="0" fontId="0" fillId="0" borderId="4" xfId="0" applyBorder="1" applyAlignment="1" applyProtection="1">
      <alignment horizontal="center" vertical="center"/>
      <protection hidden="1"/>
    </xf>
    <xf numFmtId="0" fontId="0" fillId="0" borderId="7" xfId="0" applyBorder="1"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8" xfId="0" applyBorder="1" applyAlignment="1" applyProtection="1">
      <alignment horizontal="center" vertical="center"/>
      <protection hidden="1"/>
    </xf>
    <xf numFmtId="0" fontId="0" fillId="3" borderId="1" xfId="0" applyFill="1" applyBorder="1" applyAlignment="1" applyProtection="1">
      <alignment horizontal="center" vertical="center"/>
      <protection hidden="1"/>
    </xf>
    <xf numFmtId="0" fontId="0" fillId="3" borderId="9" xfId="0" applyFill="1" applyBorder="1" applyAlignment="1" applyProtection="1">
      <alignment horizontal="center" vertical="center"/>
      <protection hidden="1"/>
    </xf>
    <xf numFmtId="0" fontId="0" fillId="3" borderId="12" xfId="0" applyFill="1" applyBorder="1" applyAlignment="1" applyProtection="1">
      <alignment horizontal="center" vertical="center"/>
      <protection hidden="1"/>
    </xf>
    <xf numFmtId="0" fontId="0" fillId="3" borderId="11" xfId="0" applyFill="1" applyBorder="1" applyAlignment="1" applyProtection="1">
      <alignment horizontal="center" vertical="center"/>
      <protection hidden="1"/>
    </xf>
    <xf numFmtId="0" fontId="2" fillId="2" borderId="64" xfId="0" applyFont="1" applyFill="1" applyBorder="1" applyAlignment="1" applyProtection="1">
      <alignment horizontal="center"/>
      <protection hidden="1"/>
    </xf>
    <xf numFmtId="0" fontId="2" fillId="2" borderId="65" xfId="0" applyFont="1" applyFill="1" applyBorder="1" applyAlignment="1" applyProtection="1">
      <alignment horizontal="center"/>
      <protection hidden="1"/>
    </xf>
    <xf numFmtId="0" fontId="2" fillId="2" borderId="66" xfId="0" applyFont="1" applyFill="1" applyBorder="1" applyAlignment="1" applyProtection="1">
      <alignment horizontal="center"/>
      <protection hidden="1"/>
    </xf>
    <xf numFmtId="0" fontId="2" fillId="2" borderId="7" xfId="0" applyFont="1" applyFill="1" applyBorder="1" applyAlignment="1" applyProtection="1">
      <alignment horizontal="center" vertical="center" wrapText="1"/>
      <protection hidden="1"/>
    </xf>
    <xf numFmtId="0" fontId="2" fillId="2" borderId="9" xfId="0" applyFont="1" applyFill="1" applyBorder="1" applyAlignment="1" applyProtection="1">
      <alignment horizontal="center" vertical="center" wrapText="1"/>
      <protection hidden="1"/>
    </xf>
    <xf numFmtId="0" fontId="2" fillId="2" borderId="11" xfId="0" applyFont="1" applyFill="1" applyBorder="1" applyAlignment="1" applyProtection="1">
      <alignment horizontal="center" vertical="center"/>
      <protection hidden="1"/>
    </xf>
    <xf numFmtId="0" fontId="2" fillId="2" borderId="56" xfId="0" applyFont="1" applyFill="1" applyBorder="1" applyAlignment="1" applyProtection="1">
      <alignment horizontal="center"/>
      <protection hidden="1"/>
    </xf>
    <xf numFmtId="0" fontId="2" fillId="2" borderId="57" xfId="0" applyFont="1" applyFill="1" applyBorder="1" applyAlignment="1" applyProtection="1">
      <alignment horizontal="center"/>
      <protection hidden="1"/>
    </xf>
    <xf numFmtId="0" fontId="2" fillId="2" borderId="58" xfId="0" applyFont="1" applyFill="1" applyBorder="1" applyAlignment="1" applyProtection="1">
      <alignment horizontal="center"/>
      <protection hidden="1"/>
    </xf>
    <xf numFmtId="44" fontId="2" fillId="2" borderId="7" xfId="0" applyNumberFormat="1" applyFont="1" applyFill="1" applyBorder="1" applyAlignment="1" applyProtection="1">
      <alignment horizontal="center" vertical="center" wrapText="1"/>
      <protection hidden="1"/>
    </xf>
    <xf numFmtId="44" fontId="2" fillId="2" borderId="8" xfId="0" applyNumberFormat="1" applyFont="1" applyFill="1" applyBorder="1" applyAlignment="1" applyProtection="1">
      <alignment horizontal="center" vertical="center"/>
      <protection hidden="1"/>
    </xf>
    <xf numFmtId="0" fontId="2" fillId="2" borderId="4" xfId="0" applyFont="1" applyFill="1" applyBorder="1" applyAlignment="1" applyProtection="1">
      <alignment horizontal="center" vertical="center"/>
      <protection hidden="1"/>
    </xf>
    <xf numFmtId="0" fontId="2" fillId="2" borderId="5" xfId="0" applyFont="1" applyFill="1" applyBorder="1" applyAlignment="1" applyProtection="1">
      <alignment horizontal="center" vertical="center"/>
      <protection hidden="1"/>
    </xf>
    <xf numFmtId="0" fontId="2" fillId="2" borderId="6" xfId="0" applyFont="1" applyFill="1" applyBorder="1" applyAlignment="1" applyProtection="1">
      <alignment horizontal="center" vertical="center"/>
      <protection hidden="1"/>
    </xf>
    <xf numFmtId="0" fontId="2" fillId="2" borderId="2" xfId="0" applyFont="1" applyFill="1" applyBorder="1" applyAlignment="1" applyProtection="1">
      <alignment horizontal="center" vertical="center"/>
      <protection hidden="1"/>
    </xf>
    <xf numFmtId="0" fontId="2" fillId="2" borderId="7" xfId="0" applyFont="1" applyFill="1" applyBorder="1" applyAlignment="1" applyProtection="1">
      <alignment horizontal="center" wrapText="1"/>
      <protection hidden="1"/>
    </xf>
    <xf numFmtId="0" fontId="2" fillId="2" borderId="2" xfId="0" applyFont="1" applyFill="1" applyBorder="1" applyAlignment="1" applyProtection="1">
      <alignment horizontal="center" wrapText="1"/>
      <protection hidden="1"/>
    </xf>
    <xf numFmtId="0" fontId="2" fillId="2" borderId="8" xfId="0" applyFont="1" applyFill="1" applyBorder="1" applyAlignment="1" applyProtection="1">
      <alignment horizontal="center" wrapText="1"/>
      <protection hidden="1"/>
    </xf>
  </cellXfs>
  <cellStyles count="4">
    <cellStyle name="Comma" xfId="1" builtinId="3"/>
    <cellStyle name="Comma 2" xfId="3" xr:uid="{7B1EC673-B5C0-4F93-93ED-82D73E52D989}"/>
    <cellStyle name="Normal" xfId="0" builtinId="0"/>
    <cellStyle name="Normal 2 2" xfId="2" xr:uid="{6025609A-1CC7-4896-B01F-50711D34DD14}"/>
  </cellStyles>
  <dxfs count="14">
    <dxf>
      <font>
        <b/>
        <i val="0"/>
        <strike val="0"/>
        <color rgb="FF00B050"/>
      </font>
      <fill>
        <patternFill patternType="solid">
          <bgColor theme="0" tint="-0.24994659260841701"/>
        </patternFill>
      </fill>
    </dxf>
    <dxf>
      <font>
        <b/>
        <i val="0"/>
        <strike val="0"/>
        <color rgb="FFFF0000"/>
      </font>
      <fill>
        <patternFill>
          <bgColor theme="0" tint="-0.24994659260841701"/>
        </patternFill>
      </fill>
    </dxf>
    <dxf>
      <font>
        <b/>
        <i val="0"/>
        <strike val="0"/>
        <color rgb="FF00B050"/>
      </font>
      <fill>
        <patternFill patternType="solid">
          <bgColor theme="0" tint="-0.24994659260841701"/>
        </patternFill>
      </fill>
    </dxf>
    <dxf>
      <font>
        <b/>
        <i val="0"/>
        <strike val="0"/>
        <color rgb="FFFF0000"/>
      </font>
      <fill>
        <patternFill>
          <bgColor theme="0" tint="-0.24994659260841701"/>
        </patternFill>
      </fill>
    </dxf>
    <dxf>
      <font>
        <b/>
        <i val="0"/>
        <strike val="0"/>
        <color rgb="FF00B050"/>
      </font>
      <fill>
        <patternFill patternType="solid">
          <bgColor theme="0" tint="-0.24994659260841701"/>
        </patternFill>
      </fill>
    </dxf>
    <dxf>
      <font>
        <b/>
        <i val="0"/>
        <strike val="0"/>
        <color rgb="FFFF0000"/>
      </font>
      <fill>
        <patternFill>
          <bgColor theme="0" tint="-0.24994659260841701"/>
        </patternFill>
      </fill>
    </dxf>
    <dxf>
      <font>
        <b/>
        <i val="0"/>
        <strike val="0"/>
        <color rgb="FF00B050"/>
      </font>
      <fill>
        <patternFill patternType="solid">
          <bgColor theme="0" tint="-0.24994659260841701"/>
        </patternFill>
      </fill>
    </dxf>
    <dxf>
      <font>
        <b/>
        <i val="0"/>
        <strike val="0"/>
        <color rgb="FFFF0000"/>
      </font>
      <fill>
        <patternFill>
          <bgColor theme="0" tint="-0.24994659260841701"/>
        </patternFill>
      </fill>
    </dxf>
    <dxf>
      <font>
        <b/>
        <i val="0"/>
        <strike val="0"/>
        <color rgb="FF00B050"/>
      </font>
      <fill>
        <patternFill patternType="solid">
          <bgColor theme="0" tint="-0.24994659260841701"/>
        </patternFill>
      </fill>
    </dxf>
    <dxf>
      <font>
        <b/>
        <i val="0"/>
        <strike val="0"/>
        <color rgb="FFFF0000"/>
      </font>
      <fill>
        <patternFill>
          <bgColor theme="0" tint="-0.24994659260841701"/>
        </patternFill>
      </fill>
    </dxf>
    <dxf>
      <font>
        <b/>
        <i val="0"/>
        <strike val="0"/>
        <color rgb="FF00B050"/>
      </font>
      <fill>
        <patternFill patternType="solid">
          <bgColor theme="0" tint="-0.24994659260841701"/>
        </patternFill>
      </fill>
    </dxf>
    <dxf>
      <font>
        <b/>
        <i val="0"/>
        <strike val="0"/>
        <color rgb="FFFF0000"/>
      </font>
      <fill>
        <patternFill>
          <bgColor theme="0" tint="-0.24994659260841701"/>
        </patternFill>
      </fill>
    </dxf>
    <dxf>
      <font>
        <b/>
        <i val="0"/>
        <strike val="0"/>
        <color rgb="FF00B050"/>
      </font>
      <fill>
        <patternFill patternType="solid">
          <bgColor theme="0" tint="-0.24994659260841701"/>
        </patternFill>
      </fill>
    </dxf>
    <dxf>
      <font>
        <b/>
        <i val="0"/>
        <strike val="0"/>
        <color rgb="FFFF0000"/>
      </font>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oneCellAnchor>
    <xdr:from>
      <xdr:col>1</xdr:col>
      <xdr:colOff>2381</xdr:colOff>
      <xdr:row>0</xdr:row>
      <xdr:rowOff>0</xdr:rowOff>
    </xdr:from>
    <xdr:ext cx="1219200" cy="1064419"/>
    <xdr:pic>
      <xdr:nvPicPr>
        <xdr:cNvPr id="2" name="Picture 1">
          <a:extLst>
            <a:ext uri="{FF2B5EF4-FFF2-40B4-BE49-F238E27FC236}">
              <a16:creationId xmlns:a16="http://schemas.microsoft.com/office/drawing/2014/main" id="{17692BFA-D57B-4902-A524-7DD89AEB16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356" y="0"/>
          <a:ext cx="1219200" cy="1064419"/>
        </a:xfrm>
        <a:prstGeom prst="rect">
          <a:avLst/>
        </a:prstGeom>
      </xdr:spPr>
    </xdr:pic>
    <xdr:clientData/>
  </xdr:oneCellAnchor>
  <xdr:oneCellAnchor>
    <xdr:from>
      <xdr:col>10</xdr:col>
      <xdr:colOff>0</xdr:colOff>
      <xdr:row>1</xdr:row>
      <xdr:rowOff>0</xdr:rowOff>
    </xdr:from>
    <xdr:ext cx="619125" cy="785812"/>
    <xdr:pic>
      <xdr:nvPicPr>
        <xdr:cNvPr id="3" name="Picture 2" hidden="1">
          <a:extLst>
            <a:ext uri="{FF2B5EF4-FFF2-40B4-BE49-F238E27FC236}">
              <a16:creationId xmlns:a16="http://schemas.microsoft.com/office/drawing/2014/main" id="{8F88E317-BEF1-4DB0-8E4E-46CE712C8C1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10400" y="123825"/>
          <a:ext cx="619125" cy="785812"/>
        </a:xfrm>
        <a:prstGeom prst="rect">
          <a:avLst/>
        </a:prstGeom>
        <a:ln>
          <a:solidFill>
            <a:schemeClr val="tx1"/>
          </a:solidFill>
        </a:ln>
      </xdr:spPr>
    </xdr:pic>
    <xdr:clientData/>
  </xdr:oneCellAnchor>
  <xdr:oneCellAnchor>
    <xdr:from>
      <xdr:col>10</xdr:col>
      <xdr:colOff>0</xdr:colOff>
      <xdr:row>1</xdr:row>
      <xdr:rowOff>0</xdr:rowOff>
    </xdr:from>
    <xdr:ext cx="609600" cy="785812"/>
    <xdr:pic>
      <xdr:nvPicPr>
        <xdr:cNvPr id="4" name="Picture 3" hidden="1">
          <a:extLst>
            <a:ext uri="{FF2B5EF4-FFF2-40B4-BE49-F238E27FC236}">
              <a16:creationId xmlns:a16="http://schemas.microsoft.com/office/drawing/2014/main" id="{DFD9A2A6-70F6-46C2-9C09-CCCE502CC12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10400" y="123825"/>
          <a:ext cx="609600" cy="785812"/>
        </a:xfrm>
        <a:prstGeom prst="rect">
          <a:avLst/>
        </a:prstGeom>
        <a:ln>
          <a:solidFill>
            <a:schemeClr val="tx1"/>
          </a:solidFill>
        </a:ln>
      </xdr:spPr>
    </xdr:pic>
    <xdr:clientData/>
  </xdr:oneCellAnchor>
  <xdr:oneCellAnchor>
    <xdr:from>
      <xdr:col>10</xdr:col>
      <xdr:colOff>15796</xdr:colOff>
      <xdr:row>1</xdr:row>
      <xdr:rowOff>1</xdr:rowOff>
    </xdr:from>
    <xdr:ext cx="1141496" cy="797718"/>
    <xdr:pic>
      <xdr:nvPicPr>
        <xdr:cNvPr id="5" name="Picture 4">
          <a:extLst>
            <a:ext uri="{FF2B5EF4-FFF2-40B4-BE49-F238E27FC236}">
              <a16:creationId xmlns:a16="http://schemas.microsoft.com/office/drawing/2014/main" id="{7779E0A1-EB52-49F5-BD97-0D840AAD57A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026196" y="123826"/>
          <a:ext cx="1141496" cy="797718"/>
        </a:xfrm>
        <a:prstGeom prst="rect">
          <a:avLst/>
        </a:prstGeom>
        <a:ln>
          <a:solidFill>
            <a:schemeClr val="tx1"/>
          </a:solid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11</xdr:col>
      <xdr:colOff>0</xdr:colOff>
      <xdr:row>1</xdr:row>
      <xdr:rowOff>0</xdr:rowOff>
    </xdr:from>
    <xdr:ext cx="619125" cy="785812"/>
    <xdr:pic>
      <xdr:nvPicPr>
        <xdr:cNvPr id="3" name="Picture 2" hidden="1">
          <a:extLst>
            <a:ext uri="{FF2B5EF4-FFF2-40B4-BE49-F238E27FC236}">
              <a16:creationId xmlns:a16="http://schemas.microsoft.com/office/drawing/2014/main" id="{5AD71DD6-F7B8-4ACB-98D8-7A304DF22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10400" y="123825"/>
          <a:ext cx="619125" cy="785812"/>
        </a:xfrm>
        <a:prstGeom prst="rect">
          <a:avLst/>
        </a:prstGeom>
        <a:ln>
          <a:solidFill>
            <a:schemeClr val="tx1"/>
          </a:solidFill>
        </a:ln>
      </xdr:spPr>
    </xdr:pic>
    <xdr:clientData/>
  </xdr:oneCellAnchor>
  <xdr:oneCellAnchor>
    <xdr:from>
      <xdr:col>11</xdr:col>
      <xdr:colOff>0</xdr:colOff>
      <xdr:row>1</xdr:row>
      <xdr:rowOff>0</xdr:rowOff>
    </xdr:from>
    <xdr:ext cx="609600" cy="785812"/>
    <xdr:pic>
      <xdr:nvPicPr>
        <xdr:cNvPr id="4" name="Picture 3" hidden="1">
          <a:extLst>
            <a:ext uri="{FF2B5EF4-FFF2-40B4-BE49-F238E27FC236}">
              <a16:creationId xmlns:a16="http://schemas.microsoft.com/office/drawing/2014/main" id="{B8380180-8388-4140-A821-445DB61CE3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10400" y="123825"/>
          <a:ext cx="609600" cy="785812"/>
        </a:xfrm>
        <a:prstGeom prst="rect">
          <a:avLst/>
        </a:prstGeom>
        <a:ln>
          <a:solidFill>
            <a:schemeClr val="tx1"/>
          </a:solidFill>
        </a:ln>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6AE57-8A14-4EF9-AE94-47A2275CD7DA}">
  <dimension ref="A1:L28"/>
  <sheetViews>
    <sheetView tabSelected="1" zoomScale="80" zoomScaleNormal="80" workbookViewId="0">
      <selection activeCell="D6" sqref="D6:K6"/>
    </sheetView>
  </sheetViews>
  <sheetFormatPr defaultColWidth="9.140625" defaultRowHeight="14.25" x14ac:dyDescent="0.25"/>
  <cols>
    <col min="1" max="1" width="2.7109375" style="17" customWidth="1"/>
    <col min="2" max="7" width="10.7109375" style="17" customWidth="1"/>
    <col min="8" max="8" width="2.7109375" style="17" customWidth="1"/>
    <col min="9" max="11" width="17.7109375" style="17" customWidth="1"/>
    <col min="12" max="12" width="2.7109375" style="17" customWidth="1"/>
    <col min="13" max="16384" width="9.140625" style="16"/>
  </cols>
  <sheetData>
    <row r="1" spans="1:12" ht="9.9499999999999993" customHeight="1" x14ac:dyDescent="0.25">
      <c r="A1" s="16"/>
    </row>
    <row r="2" spans="1:12" ht="39.950000000000003" customHeight="1" x14ac:dyDescent="0.25">
      <c r="A2" s="16"/>
      <c r="B2" s="18"/>
      <c r="C2" s="19"/>
      <c r="D2" s="204" t="s">
        <v>96</v>
      </c>
      <c r="E2" s="204"/>
      <c r="F2" s="204"/>
      <c r="G2" s="204"/>
      <c r="H2" s="204"/>
      <c r="I2" s="204"/>
      <c r="J2" s="204"/>
      <c r="K2" s="20"/>
      <c r="L2" s="21"/>
    </row>
    <row r="3" spans="1:12" ht="24.95" customHeight="1" x14ac:dyDescent="0.25">
      <c r="A3" s="16"/>
      <c r="B3" s="19"/>
      <c r="C3" s="22"/>
      <c r="D3" s="205" t="str">
        <f>CONCATENATE(LEFT(Summary!$C$23,4)," Commercial Food Service Calculator")</f>
        <v>2026 Commercial Food Service Calculator</v>
      </c>
      <c r="E3" s="205"/>
      <c r="F3" s="205"/>
      <c r="G3" s="205"/>
      <c r="H3" s="205"/>
      <c r="I3" s="205"/>
      <c r="J3" s="205"/>
      <c r="K3" s="19"/>
      <c r="L3" s="21"/>
    </row>
    <row r="4" spans="1:12" ht="9.9499999999999993" customHeight="1" x14ac:dyDescent="0.25">
      <c r="A4" s="16"/>
      <c r="D4" s="23"/>
      <c r="E4" s="24"/>
      <c r="F4" s="24"/>
      <c r="G4" s="24"/>
      <c r="H4" s="24"/>
      <c r="I4" s="24"/>
      <c r="J4" s="24"/>
      <c r="K4" s="24"/>
      <c r="L4" s="24"/>
    </row>
    <row r="5" spans="1:12" ht="18" x14ac:dyDescent="0.25">
      <c r="A5" s="16"/>
      <c r="B5" s="25" t="s">
        <v>97</v>
      </c>
      <c r="D5" s="23"/>
      <c r="E5" s="24"/>
      <c r="F5" s="24"/>
      <c r="G5" s="24"/>
      <c r="H5" s="24"/>
      <c r="I5" s="24"/>
      <c r="J5" s="24"/>
      <c r="K5" s="24"/>
      <c r="L5" s="24"/>
    </row>
    <row r="6" spans="1:12" ht="30" customHeight="1" x14ac:dyDescent="0.25">
      <c r="A6" s="16"/>
      <c r="C6" s="26" t="s">
        <v>98</v>
      </c>
      <c r="D6" s="206"/>
      <c r="E6" s="206"/>
      <c r="F6" s="206"/>
      <c r="G6" s="206"/>
      <c r="H6" s="206"/>
      <c r="I6" s="206"/>
      <c r="J6" s="206"/>
      <c r="K6" s="206"/>
      <c r="L6" s="24"/>
    </row>
    <row r="7" spans="1:12" ht="30" customHeight="1" x14ac:dyDescent="0.25">
      <c r="A7" s="16"/>
      <c r="C7" s="26" t="s">
        <v>99</v>
      </c>
      <c r="D7" s="207"/>
      <c r="E7" s="207"/>
      <c r="F7" s="207"/>
      <c r="G7" s="207"/>
      <c r="H7" s="207"/>
      <c r="I7" s="207"/>
      <c r="J7" s="207"/>
      <c r="K7" s="207"/>
      <c r="L7" s="24"/>
    </row>
    <row r="8" spans="1:12" ht="30" customHeight="1" x14ac:dyDescent="0.25">
      <c r="A8" s="16"/>
      <c r="C8" s="26" t="s">
        <v>100</v>
      </c>
      <c r="D8" s="206"/>
      <c r="E8" s="206"/>
      <c r="F8" s="24"/>
      <c r="G8" s="26" t="s">
        <v>101</v>
      </c>
      <c r="H8" s="24"/>
      <c r="I8" s="206"/>
      <c r="J8" s="206"/>
      <c r="K8" s="206"/>
      <c r="L8" s="24"/>
    </row>
    <row r="9" spans="1:12" ht="30" customHeight="1" x14ac:dyDescent="0.25">
      <c r="A9" s="16"/>
      <c r="C9" s="26" t="s">
        <v>102</v>
      </c>
      <c r="D9" s="206"/>
      <c r="E9" s="206"/>
      <c r="F9" s="24"/>
      <c r="G9" s="26" t="s">
        <v>103</v>
      </c>
      <c r="H9" s="24"/>
      <c r="I9" s="206" t="s">
        <v>104</v>
      </c>
      <c r="J9" s="206"/>
      <c r="K9" s="206"/>
      <c r="L9" s="24"/>
    </row>
    <row r="10" spans="1:12" ht="30" customHeight="1" x14ac:dyDescent="0.25">
      <c r="A10" s="16"/>
      <c r="C10" s="26" t="s">
        <v>105</v>
      </c>
      <c r="D10" s="206"/>
      <c r="E10" s="206"/>
      <c r="F10" s="206"/>
      <c r="G10" s="206"/>
      <c r="H10" s="206"/>
      <c r="I10" s="206"/>
      <c r="J10" s="206"/>
      <c r="K10" s="206"/>
      <c r="L10" s="24"/>
    </row>
    <row r="11" spans="1:12" ht="30" customHeight="1" x14ac:dyDescent="0.25">
      <c r="A11" s="16"/>
      <c r="C11" s="26" t="s">
        <v>106</v>
      </c>
      <c r="D11" s="206"/>
      <c r="E11" s="206"/>
      <c r="F11" s="206"/>
      <c r="G11" s="26" t="s">
        <v>107</v>
      </c>
      <c r="H11" s="24"/>
      <c r="I11" s="27" t="s">
        <v>108</v>
      </c>
      <c r="J11" s="26" t="s">
        <v>109</v>
      </c>
      <c r="K11" s="27"/>
      <c r="L11" s="24"/>
    </row>
    <row r="12" spans="1:12" ht="18" x14ac:dyDescent="0.25">
      <c r="A12" s="16"/>
      <c r="D12" s="23"/>
      <c r="E12" s="24"/>
      <c r="F12" s="24"/>
      <c r="G12" s="24"/>
      <c r="H12" s="24"/>
      <c r="I12" s="24"/>
      <c r="J12" s="24"/>
      <c r="K12" s="24"/>
      <c r="L12" s="24"/>
    </row>
    <row r="13" spans="1:12" ht="30" customHeight="1" x14ac:dyDescent="0.25">
      <c r="A13" s="16"/>
      <c r="B13" s="208" t="s">
        <v>79</v>
      </c>
      <c r="C13" s="208"/>
      <c r="D13" s="208"/>
      <c r="E13" s="209" t="s">
        <v>110</v>
      </c>
      <c r="F13" s="209"/>
      <c r="G13" s="209"/>
      <c r="H13" s="209"/>
      <c r="I13" s="209" t="s">
        <v>111</v>
      </c>
      <c r="J13" s="209"/>
      <c r="K13" s="209"/>
      <c r="L13" s="24"/>
    </row>
    <row r="14" spans="1:12" ht="30" customHeight="1" x14ac:dyDescent="0.25">
      <c r="A14" s="16"/>
      <c r="B14" s="210">
        <f>IFERROR(Summary!C5,0)</f>
        <v>0</v>
      </c>
      <c r="C14" s="210"/>
      <c r="D14" s="210"/>
      <c r="E14" s="211">
        <f>IFERROR(Summary!D5,0)</f>
        <v>0</v>
      </c>
      <c r="F14" s="211"/>
      <c r="G14" s="211"/>
      <c r="H14" s="211"/>
      <c r="I14" s="212">
        <f>IFERROR(Summary!C6,0)</f>
        <v>0</v>
      </c>
      <c r="J14" s="212"/>
      <c r="K14" s="212"/>
      <c r="L14" s="21"/>
    </row>
    <row r="15" spans="1:12" ht="18" x14ac:dyDescent="0.25">
      <c r="A15" s="16"/>
      <c r="B15" s="28"/>
      <c r="C15" s="28"/>
      <c r="D15" s="29"/>
      <c r="E15" s="30"/>
      <c r="F15" s="30"/>
      <c r="G15" s="30"/>
      <c r="H15" s="30"/>
      <c r="I15" s="30"/>
      <c r="J15" s="30"/>
      <c r="K15" s="28"/>
      <c r="L15" s="21"/>
    </row>
    <row r="16" spans="1:12" ht="18" x14ac:dyDescent="0.25">
      <c r="A16" s="16"/>
      <c r="D16" s="23"/>
      <c r="E16" s="31"/>
      <c r="F16" s="31"/>
      <c r="G16" s="31"/>
      <c r="H16" s="31"/>
      <c r="I16" s="31"/>
      <c r="J16" s="31"/>
      <c r="L16" s="21"/>
    </row>
    <row r="17" spans="1:12" ht="18" x14ac:dyDescent="0.25">
      <c r="A17" s="16"/>
      <c r="B17" s="25" t="s">
        <v>112</v>
      </c>
      <c r="D17" s="23"/>
      <c r="E17" s="31"/>
      <c r="F17" s="31"/>
      <c r="G17" s="31"/>
      <c r="H17" s="31"/>
      <c r="I17" s="31"/>
      <c r="J17" s="31"/>
      <c r="L17" s="21"/>
    </row>
    <row r="18" spans="1:12" ht="18" x14ac:dyDescent="0.25">
      <c r="A18" s="16"/>
      <c r="B18" s="32" t="s">
        <v>113</v>
      </c>
      <c r="D18" s="23"/>
      <c r="E18" s="31"/>
      <c r="F18" s="31"/>
      <c r="G18" s="31"/>
      <c r="H18" s="31"/>
      <c r="I18" s="31"/>
      <c r="J18" s="31"/>
      <c r="L18" s="21"/>
    </row>
    <row r="19" spans="1:12" ht="30" customHeight="1" x14ac:dyDescent="0.25">
      <c r="A19" s="16"/>
      <c r="C19" s="26" t="s">
        <v>98</v>
      </c>
      <c r="D19" s="206"/>
      <c r="E19" s="206"/>
      <c r="F19" s="206"/>
      <c r="G19" s="206"/>
      <c r="H19" s="206"/>
      <c r="I19" s="206"/>
      <c r="J19" s="206"/>
      <c r="K19" s="206"/>
      <c r="L19" s="21"/>
    </row>
    <row r="20" spans="1:12" ht="30" customHeight="1" x14ac:dyDescent="0.25">
      <c r="A20" s="16"/>
      <c r="C20" s="26" t="s">
        <v>99</v>
      </c>
      <c r="D20" s="206"/>
      <c r="E20" s="206"/>
      <c r="F20" s="206"/>
      <c r="G20" s="206"/>
      <c r="H20" s="206"/>
      <c r="I20" s="206"/>
      <c r="J20" s="206"/>
      <c r="K20" s="206"/>
      <c r="L20" s="21"/>
    </row>
    <row r="21" spans="1:12" ht="30" customHeight="1" x14ac:dyDescent="0.25">
      <c r="A21" s="16"/>
      <c r="C21" s="26" t="s">
        <v>100</v>
      </c>
      <c r="D21" s="206"/>
      <c r="E21" s="206"/>
      <c r="F21" s="24"/>
      <c r="G21" s="26" t="s">
        <v>101</v>
      </c>
      <c r="H21" s="24"/>
      <c r="I21" s="206"/>
      <c r="J21" s="206"/>
      <c r="K21" s="206"/>
      <c r="L21" s="21"/>
    </row>
    <row r="22" spans="1:12" ht="30" customHeight="1" x14ac:dyDescent="0.25">
      <c r="A22" s="16"/>
      <c r="C22" s="26" t="s">
        <v>114</v>
      </c>
      <c r="D22" s="206"/>
      <c r="E22" s="206"/>
      <c r="F22" s="206"/>
      <c r="G22" s="206"/>
      <c r="H22" s="206"/>
      <c r="I22" s="206"/>
      <c r="J22" s="206"/>
      <c r="K22" s="206"/>
      <c r="L22" s="21"/>
    </row>
    <row r="23" spans="1:12" ht="30" customHeight="1" x14ac:dyDescent="0.25">
      <c r="A23" s="16"/>
      <c r="C23" s="26" t="s">
        <v>106</v>
      </c>
      <c r="D23" s="206"/>
      <c r="E23" s="206"/>
      <c r="F23" s="206"/>
      <c r="G23" s="26" t="s">
        <v>107</v>
      </c>
      <c r="H23" s="24"/>
      <c r="I23" s="27"/>
      <c r="J23" s="26" t="s">
        <v>109</v>
      </c>
      <c r="K23" s="27"/>
      <c r="L23" s="21"/>
    </row>
    <row r="24" spans="1:12" ht="30" customHeight="1" x14ac:dyDescent="0.25">
      <c r="A24" s="16"/>
      <c r="C24" s="26" t="s">
        <v>115</v>
      </c>
      <c r="D24" s="206"/>
      <c r="E24" s="206"/>
      <c r="F24" s="206"/>
      <c r="G24" s="206"/>
      <c r="H24" s="206"/>
      <c r="I24" s="206"/>
      <c r="J24" s="206"/>
      <c r="K24" s="206"/>
      <c r="L24" s="21"/>
    </row>
    <row r="25" spans="1:12" ht="18" x14ac:dyDescent="0.25">
      <c r="A25" s="16"/>
      <c r="D25" s="23"/>
      <c r="E25" s="31"/>
      <c r="F25" s="31"/>
      <c r="G25" s="31"/>
      <c r="H25" s="31"/>
      <c r="I25" s="31"/>
      <c r="J25" s="31"/>
      <c r="L25" s="21"/>
    </row>
    <row r="26" spans="1:12" ht="18" x14ac:dyDescent="0.25">
      <c r="A26" s="16"/>
      <c r="B26" s="25" t="s">
        <v>116</v>
      </c>
      <c r="D26" s="23"/>
      <c r="E26" s="31"/>
      <c r="F26" s="31"/>
      <c r="G26" s="31"/>
      <c r="H26" s="31"/>
      <c r="I26" s="31"/>
      <c r="J26" s="31"/>
      <c r="L26" s="21"/>
    </row>
    <row r="27" spans="1:12" ht="90" customHeight="1" x14ac:dyDescent="0.25">
      <c r="A27" s="16"/>
      <c r="B27" s="213" t="s">
        <v>117</v>
      </c>
      <c r="C27" s="213"/>
      <c r="D27" s="213"/>
      <c r="E27" s="213"/>
      <c r="F27" s="213"/>
      <c r="G27" s="213"/>
      <c r="H27" s="213"/>
      <c r="I27" s="213"/>
      <c r="J27" s="213"/>
      <c r="K27" s="213"/>
      <c r="L27" s="21"/>
    </row>
    <row r="28" spans="1:12" ht="50.1" customHeight="1" x14ac:dyDescent="0.25">
      <c r="A28" s="16"/>
      <c r="C28" s="26" t="s">
        <v>118</v>
      </c>
      <c r="D28" s="206"/>
      <c r="E28" s="206"/>
      <c r="F28" s="206"/>
      <c r="G28" s="206"/>
      <c r="H28" s="206"/>
      <c r="I28" s="206"/>
      <c r="J28" s="26" t="s">
        <v>119</v>
      </c>
      <c r="K28" s="33"/>
      <c r="L28" s="21"/>
    </row>
  </sheetData>
  <sheetProtection algorithmName="SHA-512" hashValue="J90Kub0ikGc0W1p9T1TqPP5zdn6NJcNXdnGHZ95sXLXp8NuT7/WBpnXBG3IPneZbvu3fuCYts1UMIvH502v7AA==" saltValue="AfNmpF+BPdQFw5W7rziqrA==" spinCount="100000" sheet="1" objects="1" scenarios="1"/>
  <mergeCells count="25">
    <mergeCell ref="D22:K22"/>
    <mergeCell ref="D23:F23"/>
    <mergeCell ref="D24:K24"/>
    <mergeCell ref="B27:K27"/>
    <mergeCell ref="D28:I28"/>
    <mergeCell ref="D21:E21"/>
    <mergeCell ref="I21:K21"/>
    <mergeCell ref="D9:E9"/>
    <mergeCell ref="I9:K9"/>
    <mergeCell ref="D10:K10"/>
    <mergeCell ref="D11:F11"/>
    <mergeCell ref="B13:D13"/>
    <mergeCell ref="E13:H13"/>
    <mergeCell ref="I13:K13"/>
    <mergeCell ref="B14:D14"/>
    <mergeCell ref="E14:H14"/>
    <mergeCell ref="I14:K14"/>
    <mergeCell ref="D19:K19"/>
    <mergeCell ref="D20:K20"/>
    <mergeCell ref="D2:J2"/>
    <mergeCell ref="D3:J3"/>
    <mergeCell ref="D6:K6"/>
    <mergeCell ref="D7:K7"/>
    <mergeCell ref="D8:E8"/>
    <mergeCell ref="I8:K8"/>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9FD41-DBA1-480E-BFB0-390B8F550AA0}">
  <dimension ref="B2:S59"/>
  <sheetViews>
    <sheetView workbookViewId="0"/>
  </sheetViews>
  <sheetFormatPr defaultRowHeight="15" x14ac:dyDescent="0.25"/>
  <cols>
    <col min="1" max="1" width="3.7109375" style="10" customWidth="1"/>
    <col min="2" max="2" width="30.7109375" style="1" customWidth="1"/>
    <col min="3" max="7" width="30.7109375" style="3" customWidth="1"/>
    <col min="8" max="8" width="3.7109375" style="10" customWidth="1"/>
    <col min="9" max="9" width="25.7109375" style="10" customWidth="1"/>
    <col min="10" max="13" width="20.7109375" style="10" customWidth="1"/>
    <col min="14" max="14" width="10.7109375" style="10" hidden="1" customWidth="1"/>
    <col min="15" max="15" width="3.7109375" style="10" customWidth="1"/>
    <col min="16" max="16" width="25.7109375" style="10" bestFit="1" customWidth="1"/>
    <col min="17" max="17" width="15.7109375" style="139" customWidth="1"/>
    <col min="18" max="18" width="15.7109375" style="153" customWidth="1"/>
    <col min="19" max="19" width="15.7109375" style="150" hidden="1" customWidth="1"/>
    <col min="20" max="20" width="3.7109375" style="10" customWidth="1"/>
    <col min="21" max="16384" width="9.140625" style="10"/>
  </cols>
  <sheetData>
    <row r="2" spans="2:19" x14ac:dyDescent="0.25">
      <c r="B2" s="65" t="s">
        <v>129</v>
      </c>
      <c r="I2" s="55" t="s">
        <v>163</v>
      </c>
      <c r="P2" s="89" t="s">
        <v>170</v>
      </c>
    </row>
    <row r="3" spans="2:19" ht="15.75" thickBot="1" x14ac:dyDescent="0.3">
      <c r="I3" s="264" t="s">
        <v>73</v>
      </c>
      <c r="J3" s="256" t="s">
        <v>261</v>
      </c>
      <c r="K3" s="256"/>
      <c r="L3" s="256" t="s">
        <v>269</v>
      </c>
      <c r="M3" s="256"/>
      <c r="N3" s="264" t="s">
        <v>130</v>
      </c>
      <c r="P3" s="288" t="s">
        <v>277</v>
      </c>
      <c r="Q3" s="289"/>
      <c r="R3" s="290"/>
      <c r="S3" s="286" t="s">
        <v>275</v>
      </c>
    </row>
    <row r="4" spans="2:19" ht="15.75" customHeight="1" thickBot="1" x14ac:dyDescent="0.3">
      <c r="B4" s="2" t="s">
        <v>14</v>
      </c>
      <c r="C4" s="9" t="s">
        <v>292</v>
      </c>
      <c r="I4" s="291"/>
      <c r="J4" s="292" t="s">
        <v>263</v>
      </c>
      <c r="K4" s="292" t="s">
        <v>264</v>
      </c>
      <c r="L4" s="292" t="s">
        <v>263</v>
      </c>
      <c r="M4" s="292" t="s">
        <v>264</v>
      </c>
      <c r="N4" s="291"/>
      <c r="P4" s="15" t="s">
        <v>73</v>
      </c>
      <c r="Q4" s="140" t="s">
        <v>150</v>
      </c>
      <c r="R4" s="154" t="s">
        <v>151</v>
      </c>
      <c r="S4" s="287"/>
    </row>
    <row r="5" spans="2:19" ht="15.75" thickBot="1" x14ac:dyDescent="0.3">
      <c r="B5" s="2"/>
      <c r="I5" s="291"/>
      <c r="J5" s="293"/>
      <c r="K5" s="293"/>
      <c r="L5" s="293"/>
      <c r="M5" s="293"/>
      <c r="N5" s="291"/>
      <c r="P5" s="148" t="s">
        <v>74</v>
      </c>
      <c r="Q5" s="7">
        <v>2541</v>
      </c>
      <c r="R5" s="155">
        <v>0.37</v>
      </c>
      <c r="S5" s="151">
        <v>250</v>
      </c>
    </row>
    <row r="6" spans="2:19" x14ac:dyDescent="0.25">
      <c r="B6" s="2" t="s">
        <v>15</v>
      </c>
      <c r="C6" s="46"/>
      <c r="D6" s="47"/>
      <c r="E6" s="47"/>
      <c r="F6" s="47"/>
      <c r="G6" s="48"/>
      <c r="I6" s="265"/>
      <c r="J6" s="294"/>
      <c r="K6" s="294"/>
      <c r="L6" s="294"/>
      <c r="M6" s="294"/>
      <c r="N6" s="265"/>
      <c r="P6" s="148" t="s">
        <v>75</v>
      </c>
      <c r="Q6" s="7">
        <v>16164</v>
      </c>
      <c r="R6" s="155">
        <v>2.38</v>
      </c>
      <c r="S6" s="151">
        <v>2000</v>
      </c>
    </row>
    <row r="7" spans="2:19" x14ac:dyDescent="0.25">
      <c r="B7" s="2" t="s">
        <v>138</v>
      </c>
      <c r="C7" s="49"/>
      <c r="D7" s="50"/>
      <c r="E7" s="50"/>
      <c r="F7" s="50"/>
      <c r="G7" s="51"/>
      <c r="I7" s="11" t="s">
        <v>74</v>
      </c>
      <c r="J7" s="13">
        <v>0.5</v>
      </c>
      <c r="K7" s="13">
        <v>1.19</v>
      </c>
      <c r="L7" s="13">
        <v>0.5</v>
      </c>
      <c r="M7" s="13">
        <v>0.86</v>
      </c>
      <c r="N7" s="147">
        <v>10</v>
      </c>
      <c r="P7" s="148" t="s">
        <v>76</v>
      </c>
      <c r="Q7" s="7">
        <v>13636</v>
      </c>
      <c r="R7" s="155">
        <v>2.0099999999999998</v>
      </c>
      <c r="S7" s="151">
        <v>2000</v>
      </c>
    </row>
    <row r="8" spans="2:19" x14ac:dyDescent="0.25">
      <c r="B8" s="2" t="s">
        <v>127</v>
      </c>
      <c r="C8" s="86"/>
      <c r="D8" s="87"/>
      <c r="E8" s="87"/>
      <c r="F8" s="87"/>
      <c r="G8" s="88"/>
      <c r="I8" s="11" t="s">
        <v>75</v>
      </c>
      <c r="J8" s="13">
        <v>0.6</v>
      </c>
      <c r="K8" s="13">
        <v>1.18</v>
      </c>
      <c r="L8" s="13">
        <v>0.7</v>
      </c>
      <c r="M8" s="13">
        <v>0.89</v>
      </c>
      <c r="N8" s="147">
        <v>15</v>
      </c>
      <c r="P8" s="148" t="s">
        <v>262</v>
      </c>
      <c r="Q8" s="7">
        <v>18824</v>
      </c>
      <c r="R8" s="155">
        <v>2.78</v>
      </c>
      <c r="S8" s="151">
        <v>2800</v>
      </c>
    </row>
    <row r="9" spans="2:19" x14ac:dyDescent="0.25">
      <c r="B9" s="2" t="s">
        <v>270</v>
      </c>
      <c r="C9" s="49"/>
      <c r="D9" s="50"/>
      <c r="E9" s="50"/>
      <c r="F9" s="50"/>
      <c r="G9" s="51"/>
      <c r="I9" s="11" t="s">
        <v>76</v>
      </c>
      <c r="J9" s="13">
        <v>1.5</v>
      </c>
      <c r="K9" s="13">
        <v>0.79</v>
      </c>
      <c r="L9" s="13">
        <v>1.5</v>
      </c>
      <c r="M9" s="13">
        <v>0.7</v>
      </c>
      <c r="N9" s="147">
        <v>20</v>
      </c>
      <c r="P9" s="148" t="s">
        <v>77</v>
      </c>
      <c r="Q9" s="149"/>
      <c r="R9" s="156"/>
      <c r="S9" s="152">
        <v>0</v>
      </c>
    </row>
    <row r="10" spans="2:19" x14ac:dyDescent="0.25">
      <c r="B10" s="2" t="s">
        <v>78</v>
      </c>
      <c r="C10" s="49"/>
      <c r="D10" s="50"/>
      <c r="E10" s="50"/>
      <c r="F10" s="50"/>
      <c r="G10" s="51"/>
      <c r="I10" s="11" t="s">
        <v>262</v>
      </c>
      <c r="J10" s="13">
        <v>2</v>
      </c>
      <c r="K10" s="13">
        <v>0.54</v>
      </c>
      <c r="L10" s="13">
        <v>2.25</v>
      </c>
      <c r="M10" s="13">
        <v>0.54</v>
      </c>
      <c r="N10" s="147">
        <v>20</v>
      </c>
      <c r="P10" s="288" t="s">
        <v>278</v>
      </c>
      <c r="Q10" s="289"/>
      <c r="R10" s="290"/>
      <c r="S10" s="286" t="s">
        <v>275</v>
      </c>
    </row>
    <row r="11" spans="2:19" x14ac:dyDescent="0.25">
      <c r="B11" s="2" t="s">
        <v>274</v>
      </c>
      <c r="C11" s="82"/>
      <c r="D11" s="83"/>
      <c r="E11" s="83"/>
      <c r="F11" s="83"/>
      <c r="G11" s="84"/>
      <c r="I11" s="11" t="s">
        <v>77</v>
      </c>
      <c r="J11" s="13">
        <v>1</v>
      </c>
      <c r="K11" s="13">
        <v>0.57999999999999996</v>
      </c>
      <c r="L11" s="13">
        <v>1.2</v>
      </c>
      <c r="M11" s="13">
        <v>0.57999999999999996</v>
      </c>
      <c r="N11" s="147">
        <v>10</v>
      </c>
      <c r="P11" s="15" t="s">
        <v>73</v>
      </c>
      <c r="Q11" s="140" t="s">
        <v>150</v>
      </c>
      <c r="R11" s="154" t="s">
        <v>151</v>
      </c>
      <c r="S11" s="287"/>
    </row>
    <row r="12" spans="2:19" x14ac:dyDescent="0.25">
      <c r="B12" s="2" t="s">
        <v>273</v>
      </c>
      <c r="C12" s="82"/>
      <c r="D12" s="83"/>
      <c r="E12" s="83"/>
      <c r="F12" s="83"/>
      <c r="G12" s="84"/>
      <c r="I12" s="10" t="s">
        <v>276</v>
      </c>
      <c r="P12" s="148" t="s">
        <v>74</v>
      </c>
      <c r="Q12" s="7">
        <v>3172</v>
      </c>
      <c r="R12" s="155">
        <v>0.47</v>
      </c>
      <c r="S12" s="151">
        <v>300</v>
      </c>
    </row>
    <row r="13" spans="2:19" x14ac:dyDescent="0.25">
      <c r="B13" s="2" t="s">
        <v>272</v>
      </c>
      <c r="C13" s="82"/>
      <c r="D13" s="83"/>
      <c r="E13" s="83"/>
      <c r="F13" s="83"/>
      <c r="G13" s="84"/>
      <c r="P13" s="148" t="s">
        <v>75</v>
      </c>
      <c r="Q13" s="7">
        <v>11871</v>
      </c>
      <c r="R13" s="155">
        <v>1.75</v>
      </c>
      <c r="S13" s="151">
        <v>1500</v>
      </c>
    </row>
    <row r="14" spans="2:19" ht="15.75" thickBot="1" x14ac:dyDescent="0.3">
      <c r="B14" s="2" t="s">
        <v>271</v>
      </c>
      <c r="C14" s="144"/>
      <c r="D14" s="145"/>
      <c r="E14" s="145"/>
      <c r="F14" s="145"/>
      <c r="G14" s="146"/>
      <c r="P14" s="148" t="s">
        <v>76</v>
      </c>
      <c r="Q14" s="7">
        <v>9218</v>
      </c>
      <c r="R14" s="155">
        <v>1.36</v>
      </c>
      <c r="S14" s="151">
        <v>1400</v>
      </c>
    </row>
    <row r="15" spans="2:19" x14ac:dyDescent="0.25">
      <c r="B15" s="2" t="s">
        <v>265</v>
      </c>
      <c r="C15" s="90" t="str">
        <f>IF(C$10="","Enter Dishwasher Type",VLOOKUP(C$10,$I$7:$M$11,2,FALSE))</f>
        <v>Enter Dishwasher Type</v>
      </c>
      <c r="D15" s="91" t="str">
        <f t="shared" ref="D15:G15" si="0">IF(D$10="","Enter Dishwasher Type",VLOOKUP(D$10,$I$7:$M$11,2,FALSE))</f>
        <v>Enter Dishwasher Type</v>
      </c>
      <c r="E15" s="91" t="str">
        <f t="shared" si="0"/>
        <v>Enter Dishwasher Type</v>
      </c>
      <c r="F15" s="91" t="str">
        <f t="shared" si="0"/>
        <v>Enter Dishwasher Type</v>
      </c>
      <c r="G15" s="92" t="str">
        <f t="shared" si="0"/>
        <v>Enter Dishwasher Type</v>
      </c>
      <c r="P15" s="148" t="s">
        <v>262</v>
      </c>
      <c r="Q15" s="7">
        <v>27427</v>
      </c>
      <c r="R15" s="155">
        <v>4.05</v>
      </c>
      <c r="S15" s="151">
        <v>4000</v>
      </c>
    </row>
    <row r="16" spans="2:19" x14ac:dyDescent="0.25">
      <c r="B16" s="2" t="s">
        <v>266</v>
      </c>
      <c r="C16" s="96" t="str">
        <f>IF(C$10="","Enter Dishwasher Type",VLOOKUP(C$10,$I$7:$M$11,3,FALSE))</f>
        <v>Enter Dishwasher Type</v>
      </c>
      <c r="D16" s="97" t="str">
        <f t="shared" ref="D16:G16" si="1">IF(D$10="","Enter Dishwasher Type",VLOOKUP(D$10,$I$7:$M$11,3,FALSE))</f>
        <v>Enter Dishwasher Type</v>
      </c>
      <c r="E16" s="97" t="str">
        <f t="shared" si="1"/>
        <v>Enter Dishwasher Type</v>
      </c>
      <c r="F16" s="97" t="str">
        <f t="shared" si="1"/>
        <v>Enter Dishwasher Type</v>
      </c>
      <c r="G16" s="98" t="str">
        <f t="shared" si="1"/>
        <v>Enter Dishwasher Type</v>
      </c>
      <c r="P16" s="148" t="s">
        <v>77</v>
      </c>
      <c r="Q16" s="7">
        <v>3313</v>
      </c>
      <c r="R16" s="155">
        <v>0.49</v>
      </c>
      <c r="S16" s="151">
        <v>325</v>
      </c>
    </row>
    <row r="17" spans="2:19" x14ac:dyDescent="0.25">
      <c r="B17" s="2" t="s">
        <v>267</v>
      </c>
      <c r="C17" s="96" t="str">
        <f>IF(C$10="","Enter Dishwasher Type",VLOOKUP(C$10,$I$7:$M$11,4,FALSE))</f>
        <v>Enter Dishwasher Type</v>
      </c>
      <c r="D17" s="97" t="str">
        <f t="shared" ref="D17:G17" si="2">IF(D$10="","Enter Dishwasher Type",VLOOKUP(D$10,$I$7:$M$11,4,FALSE))</f>
        <v>Enter Dishwasher Type</v>
      </c>
      <c r="E17" s="97" t="str">
        <f t="shared" si="2"/>
        <v>Enter Dishwasher Type</v>
      </c>
      <c r="F17" s="97" t="str">
        <f t="shared" si="2"/>
        <v>Enter Dishwasher Type</v>
      </c>
      <c r="G17" s="98" t="str">
        <f t="shared" si="2"/>
        <v>Enter Dishwasher Type</v>
      </c>
      <c r="P17" s="288" t="s">
        <v>279</v>
      </c>
      <c r="Q17" s="289"/>
      <c r="R17" s="290"/>
      <c r="S17" s="286" t="s">
        <v>275</v>
      </c>
    </row>
    <row r="18" spans="2:19" ht="15.75" thickBot="1" x14ac:dyDescent="0.3">
      <c r="B18" s="2" t="s">
        <v>268</v>
      </c>
      <c r="C18" s="141" t="str">
        <f>IF(C$10="","Enter Dishwasher Type",VLOOKUP(C$10,$I$7:$M$11,5,FALSE))</f>
        <v>Enter Dishwasher Type</v>
      </c>
      <c r="D18" s="142" t="str">
        <f t="shared" ref="D18:G18" si="3">IF(D$10="","Enter Dishwasher Type",VLOOKUP(D$10,$I$7:$M$11,5,FALSE))</f>
        <v>Enter Dishwasher Type</v>
      </c>
      <c r="E18" s="142" t="str">
        <f t="shared" si="3"/>
        <v>Enter Dishwasher Type</v>
      </c>
      <c r="F18" s="142" t="str">
        <f t="shared" si="3"/>
        <v>Enter Dishwasher Type</v>
      </c>
      <c r="G18" s="143" t="str">
        <f t="shared" si="3"/>
        <v>Enter Dishwasher Type</v>
      </c>
      <c r="P18" s="15" t="s">
        <v>73</v>
      </c>
      <c r="Q18" s="140" t="s">
        <v>150</v>
      </c>
      <c r="R18" s="154" t="s">
        <v>151</v>
      </c>
      <c r="S18" s="287"/>
    </row>
    <row r="19" spans="2:19" ht="15.75" thickBot="1" x14ac:dyDescent="0.3">
      <c r="B19" s="2"/>
      <c r="P19" s="148" t="s">
        <v>74</v>
      </c>
      <c r="Q19" s="7">
        <v>2541</v>
      </c>
      <c r="R19" s="155">
        <v>0.37</v>
      </c>
      <c r="S19" s="151">
        <v>250</v>
      </c>
    </row>
    <row r="20" spans="2:19" ht="15.75" thickBot="1" x14ac:dyDescent="0.3">
      <c r="B20" s="2" t="s">
        <v>154</v>
      </c>
      <c r="C20" s="119" t="str">
        <f>IFERROR(IF(OR($C$4="",C6="",C7="",C8="",C9="",C10="",C11="",C12="",C13="",C14=""),"Enter equipment specs",IF(AND(C11&lt;=C15,C12&lt;=C16,C13&lt;=C17,C14&lt;=C18),"Eligible","Not Eligible")),"Not Eligible")</f>
        <v>Enter equipment specs</v>
      </c>
      <c r="D20" s="120" t="str">
        <f t="shared" ref="D20:G20" si="4">IFERROR(IF(OR($C$4="",D6="",D7="",D8="",D9="",D10="",D11="",D12="",D13="",D14=""),"Enter equipment specs",IF(AND(D11&lt;=D15,D12&lt;=D16,D13&lt;=D17,D14&lt;=D18),"Eligible","Not Eligible")),"Not Eligible")</f>
        <v>Enter equipment specs</v>
      </c>
      <c r="E20" s="120" t="str">
        <f t="shared" si="4"/>
        <v>Enter equipment specs</v>
      </c>
      <c r="F20" s="120" t="str">
        <f t="shared" si="4"/>
        <v>Enter equipment specs</v>
      </c>
      <c r="G20" s="121" t="str">
        <f t="shared" si="4"/>
        <v>Enter equipment specs</v>
      </c>
      <c r="P20" s="148" t="s">
        <v>75</v>
      </c>
      <c r="Q20" s="7">
        <v>16164</v>
      </c>
      <c r="R20" s="155">
        <v>2.38</v>
      </c>
      <c r="S20" s="151">
        <v>2000</v>
      </c>
    </row>
    <row r="21" spans="2:19" ht="15.75" thickBot="1" x14ac:dyDescent="0.3">
      <c r="B21" s="2"/>
      <c r="P21" s="148" t="s">
        <v>76</v>
      </c>
      <c r="Q21" s="7">
        <v>13636</v>
      </c>
      <c r="R21" s="155">
        <v>2.0099999999999998</v>
      </c>
      <c r="S21" s="151">
        <v>2000</v>
      </c>
    </row>
    <row r="22" spans="2:19" s="55" customFormat="1" x14ac:dyDescent="0.25">
      <c r="B22" s="2" t="s">
        <v>18</v>
      </c>
      <c r="C22" s="52">
        <f>IF(OR(C$8="",C$9="",C$10=""),0,IF(C$9="Low w/ Elect. DHW+Booster",C$8*VLOOKUP(C$10,$P$5:$R$9,3,FALSE),IF(C$9="High w/ Elect. DHW+Booster",C$8*VLOOKUP(C$10,$P$12:$R$16,3,FALSE),IF(C$9="Low w/ Elect. DHW+Gas Booster",C$8*VLOOKUP(C$10,$P$19:$R$23,3,FALSE),IF(C$9="High w/ Elect. DHW+Gas Booster",C$8*VLOOKUP(C$10,$P$26:$R$30,3,FALSE),IF(C$9="Low w/ Gas DHW+Elect. Booster",C$8*VLOOKUP(C$10,$P$33:$R$37,3,FALSE),IF(C$9="High w/ Gas DHW+Elect. Booster",C$8*VLOOKUP(C$10,$P$40:$R$44,3,FALSE),IF(C$9="Low w/ Gas DHW+Booster",C$8*VLOOKUP(C$10,$P$47:$R$51,3,FALSE),IF(C$9="High w/ Gas DHW+Booster",C$8*VLOOKUP(C$10,$P$54:$R$58,3,FALSE),0)))))))))</f>
        <v>0</v>
      </c>
      <c r="D22" s="53">
        <f t="shared" ref="D22:G22" si="5">IF(OR(D$8="",D$9="",D$10=""),0,IF(D$9="Low w/ Elect. DHW+Booster",D$8*VLOOKUP(D$10,$P$5:$R$9,3,FALSE),IF(D$9="High w/ Elect. DHW+Booster",D$8*VLOOKUP(D$10,$P$12:$R$16,3,FALSE),IF(D$9="Low w/ Elect. DHW+Gas Booster",D$8*VLOOKUP(D$10,$P$19:$R$23,3,FALSE),IF(D$9="High w/ Elect. DHW+Gas Booster",D$8*VLOOKUP(D$10,$P$26:$R$30,3,FALSE),IF(D$9="Low w/ Gas DHW+Elect. Booster",D$8*VLOOKUP(D$10,$P$33:$R$37,3,FALSE),IF(D$9="High w/ Gas DHW+Elect. Booster",D$8*VLOOKUP(D$10,$P$40:$R$44,3,FALSE),IF(D$9="Low w/ Gas DHW+Booster",D$8*VLOOKUP(D$10,$P$47:$R$51,3,FALSE),IF(D$9="High w/ Gas DHW+Booster",D$8*VLOOKUP(D$10,$P$54:$R$58,3,FALSE),0)))))))))</f>
        <v>0</v>
      </c>
      <c r="E22" s="53">
        <f t="shared" si="5"/>
        <v>0</v>
      </c>
      <c r="F22" s="53">
        <f t="shared" si="5"/>
        <v>0</v>
      </c>
      <c r="G22" s="54">
        <f t="shared" si="5"/>
        <v>0</v>
      </c>
      <c r="P22" s="148" t="s">
        <v>262</v>
      </c>
      <c r="Q22" s="7">
        <v>18824</v>
      </c>
      <c r="R22" s="155">
        <v>2.78</v>
      </c>
      <c r="S22" s="151">
        <v>2800</v>
      </c>
    </row>
    <row r="23" spans="2:19" s="55" customFormat="1" x14ac:dyDescent="0.25">
      <c r="B23" s="2" t="s">
        <v>17</v>
      </c>
      <c r="C23" s="56">
        <f>IF(OR(C$8="",C$9="",C$10=""),0,IF(C$9="Low w/ Elect. DHW+Booster",C$8*VLOOKUP(C$10,$P$5:$R$9,2,FALSE),IF(C$9="High w/ Elect. DHW+Booster",C$8*VLOOKUP(C$10,$P$12:$R$16,2,FALSE),IF(C$9="Low w/ Elect. DHW+Gas Booster",C$8*VLOOKUP(C$10,$P$19:$R$23,2,FALSE),IF(C$9="High w/ Elect. DHW+Gas Booster",C$8*VLOOKUP(C$10,$P$26:$R$30,2,FALSE),IF(C$9="Low w/ Gas DHW+Elect. Booster",C$8*VLOOKUP(C$10,$P$33:$R$37,2,FALSE),IF(C$9="High w/ Gas DHW+Elect. Booster",C$8*VLOOKUP(C$10,$P$40:$R$44,2,FALSE),IF(C$9="Low w/ Gas DHW+Booster",C$8*VLOOKUP(C$10,$P$47:$R$51,2,FALSE),IF(C$9="High w/ Gas DHW+Booster",C$8*VLOOKUP(C$10,$P$54:$R$58,2,FALSE),0)))))))))</f>
        <v>0</v>
      </c>
      <c r="D23" s="57">
        <f t="shared" ref="D23:G23" si="6">IF(OR(D$8="",D$9="",D$10=""),0,IF(D$9="Low w/ Elect. DHW+Booster",D$8*VLOOKUP(D$10,$P$5:$R$9,2,FALSE),IF(D$9="High w/ Elect. DHW+Booster",D$8*VLOOKUP(D$10,$P$12:$R$16,2,FALSE),IF(D$9="Low w/ Elect. DHW+Gas Booster",D$8*VLOOKUP(D$10,$P$19:$R$23,2,FALSE),IF(D$9="High w/ Elect. DHW+Gas Booster",D$8*VLOOKUP(D$10,$P$26:$R$30,2,FALSE),IF(D$9="Low w/ Gas DHW+Elect. Booster",D$8*VLOOKUP(D$10,$P$33:$R$37,2,FALSE),IF(D$9="High w/ Gas DHW+Elect. Booster",D$8*VLOOKUP(D$10,$P$40:$R$44,2,FALSE),IF(D$9="Low w/ Gas DHW+Booster",D$8*VLOOKUP(D$10,$P$47:$R$51,2,FALSE),IF(D$9="High w/ Gas DHW+Booster",D$8*VLOOKUP(D$10,$P$54:$R$58,2,FALSE),0)))))))))</f>
        <v>0</v>
      </c>
      <c r="E23" s="57">
        <f t="shared" si="6"/>
        <v>0</v>
      </c>
      <c r="F23" s="57">
        <f t="shared" si="6"/>
        <v>0</v>
      </c>
      <c r="G23" s="58">
        <f t="shared" si="6"/>
        <v>0</v>
      </c>
      <c r="P23" s="148" t="s">
        <v>77</v>
      </c>
      <c r="Q23" s="149"/>
      <c r="R23" s="156"/>
      <c r="S23" s="152">
        <v>0</v>
      </c>
    </row>
    <row r="24" spans="2:19" s="55" customFormat="1" x14ac:dyDescent="0.25">
      <c r="B24" s="2" t="s">
        <v>132</v>
      </c>
      <c r="C24" s="59">
        <f>IF(OR($C$4="",C$9="",C$10="",C$20&lt;&gt;"Eligible"),0,IF($C$4="SCORE Plus",C23*0.12,IF(AND($C$4="Commercial Comprehensive",C$9="Low w/ Elect. DHW+Booster"),C$8*VLOOKUP(C$10,$P$5:$S$9,4,FALSE),IF(AND($C$4="Commercial Comprehensive",C$9="High w/ Elect. DHW+Booster"),C$8*VLOOKUP(C$10,$P$12:$S$16,4,FALSE),IF(AND($C$4="Commercial Comprehensive",C$9="Low w/ Elect. DHW+Gas Booster"),C$8*VLOOKUP(C$10,$P$19:$S$23,4,FALSE),IF(AND($C$4="Commercial Comprehensive",C$9="High w/ Elect. DHW+Gas Booster"),C$8*VLOOKUP(C$10,$P$26:$S$30,4,FALSE),IF(AND($C$4="Commercial Comprehensive",C$9="Low w/ Gas DHW+Elect. Booster"),C$8*VLOOKUP(C$10,$P$33:$S$37,4,FALSE),IF(AND($C$4="Commercial Comprehensive",C$9="High w/ Gas DHW+Elect. Booster"),C$8*VLOOKUP(C$10,$P$40:$S$44,4,FALSE),IF(AND($C$4="Commercial Comprehensive",C$9="Low w/ Gas DHW+Booster"),C$8*VLOOKUP(C$10,$P$47:$S$51,4,FALSE),IF(AND($C$4="Commercial Comprehensive",C$9="High w/ Gas DHW+Booster"),C$8*VLOOKUP(C$10,$P$54:$S$58,4,FALSE),0))))))))))</f>
        <v>0</v>
      </c>
      <c r="D24" s="60">
        <f t="shared" ref="D24:G24" si="7">IF(OR($C$4="",D$9="",D$10="",D$20&lt;&gt;"Eligible"),0,IF($C$4="SCORE Plus",D23*0.12,IF(AND($C$4="Commercial Comprehensive",D$9="Low w/ Elect. DHW+Booster"),D$8*VLOOKUP(D$10,$P$5:$S$9,4,FALSE),IF(AND($C$4="Commercial Comprehensive",D$9="High w/ Elect. DHW+Booster"),D$8*VLOOKUP(D$10,$P$12:$S$16,4,FALSE),IF(AND($C$4="Commercial Comprehensive",D$9="Low w/ Elect. DHW+Gas Booster"),D$8*VLOOKUP(D$10,$P$19:$S$23,4,FALSE),IF(AND($C$4="Commercial Comprehensive",D$9="High w/ Elect. DHW+Gas Booster"),D$8*VLOOKUP(D$10,$P$26:$S$30,4,FALSE),IF(AND($C$4="Commercial Comprehensive",D$9="Low w/ Gas DHW+Elect. Booster"),D$8*VLOOKUP(D$10,$P$33:$S$37,4,FALSE),IF(AND($C$4="Commercial Comprehensive",D$9="High w/ Gas DHW+Elect. Booster"),D$8*VLOOKUP(D$10,$P$40:$S$44,4,FALSE),IF(AND($C$4="Commercial Comprehensive",D$9="Low w/ Gas DHW+Booster"),D$8*VLOOKUP(D$10,$P$47:$S$51,4,FALSE),IF(AND($C$4="Commercial Comprehensive",D$9="High w/ Gas DHW+Booster"),D$8*VLOOKUP(D$10,$P$54:$S$58,4,FALSE),0))))))))))</f>
        <v>0</v>
      </c>
      <c r="E24" s="60">
        <f t="shared" si="7"/>
        <v>0</v>
      </c>
      <c r="F24" s="60">
        <f t="shared" si="7"/>
        <v>0</v>
      </c>
      <c r="G24" s="61">
        <f t="shared" si="7"/>
        <v>0</v>
      </c>
      <c r="P24" s="288" t="s">
        <v>280</v>
      </c>
      <c r="Q24" s="289"/>
      <c r="R24" s="290"/>
      <c r="S24" s="286" t="s">
        <v>275</v>
      </c>
    </row>
    <row r="25" spans="2:19" s="55" customFormat="1" ht="15.75" thickBot="1" x14ac:dyDescent="0.3">
      <c r="B25" s="2" t="s">
        <v>90</v>
      </c>
      <c r="C25" s="62" t="str">
        <f>IF(C10="","Select Dishwasher Type",VLOOKUP(C10,$I$7:$N$11,6,FALSE))</f>
        <v>Select Dishwasher Type</v>
      </c>
      <c r="D25" s="63" t="str">
        <f t="shared" ref="D25:G25" si="8">IF(D10="","Select Dishwasher Type",VLOOKUP(D10,$I$7:$N$11,6,FALSE))</f>
        <v>Select Dishwasher Type</v>
      </c>
      <c r="E25" s="63" t="str">
        <f t="shared" si="8"/>
        <v>Select Dishwasher Type</v>
      </c>
      <c r="F25" s="63" t="str">
        <f t="shared" si="8"/>
        <v>Select Dishwasher Type</v>
      </c>
      <c r="G25" s="64" t="str">
        <f t="shared" si="8"/>
        <v>Select Dishwasher Type</v>
      </c>
      <c r="P25" s="15" t="s">
        <v>73</v>
      </c>
      <c r="Q25" s="140" t="s">
        <v>150</v>
      </c>
      <c r="R25" s="154" t="s">
        <v>151</v>
      </c>
      <c r="S25" s="287"/>
    </row>
    <row r="26" spans="2:19" x14ac:dyDescent="0.25">
      <c r="B26" s="2"/>
      <c r="P26" s="148" t="s">
        <v>74</v>
      </c>
      <c r="Q26" s="7">
        <v>2554</v>
      </c>
      <c r="R26" s="155">
        <v>0.38</v>
      </c>
      <c r="S26" s="151">
        <v>250</v>
      </c>
    </row>
    <row r="27" spans="2:19" x14ac:dyDescent="0.25">
      <c r="P27" s="148" t="s">
        <v>75</v>
      </c>
      <c r="Q27" s="7">
        <v>7855</v>
      </c>
      <c r="R27" s="155">
        <v>1.1599999999999999</v>
      </c>
      <c r="S27" s="151">
        <v>1000</v>
      </c>
    </row>
    <row r="28" spans="2:19" x14ac:dyDescent="0.25">
      <c r="P28" s="148" t="s">
        <v>76</v>
      </c>
      <c r="Q28" s="7">
        <v>6780</v>
      </c>
      <c r="R28" s="155">
        <v>1</v>
      </c>
      <c r="S28" s="151">
        <v>1000</v>
      </c>
    </row>
    <row r="29" spans="2:19" x14ac:dyDescent="0.25">
      <c r="P29" s="148" t="s">
        <v>262</v>
      </c>
      <c r="Q29" s="7">
        <v>18176</v>
      </c>
      <c r="R29" s="155">
        <v>2.68</v>
      </c>
      <c r="S29" s="151">
        <v>2500</v>
      </c>
    </row>
    <row r="30" spans="2:19" x14ac:dyDescent="0.25">
      <c r="P30" s="148" t="s">
        <v>77</v>
      </c>
      <c r="Q30" s="7">
        <v>2109</v>
      </c>
      <c r="R30" s="155">
        <v>0.31</v>
      </c>
      <c r="S30" s="151">
        <v>200</v>
      </c>
    </row>
    <row r="31" spans="2:19" x14ac:dyDescent="0.25">
      <c r="P31" s="288" t="s">
        <v>281</v>
      </c>
      <c r="Q31" s="289"/>
      <c r="R31" s="290"/>
      <c r="S31" s="286" t="s">
        <v>275</v>
      </c>
    </row>
    <row r="32" spans="2:19" x14ac:dyDescent="0.25">
      <c r="P32" s="15" t="s">
        <v>73</v>
      </c>
      <c r="Q32" s="140" t="s">
        <v>150</v>
      </c>
      <c r="R32" s="154" t="s">
        <v>151</v>
      </c>
      <c r="S32" s="287"/>
    </row>
    <row r="33" spans="16:19" x14ac:dyDescent="0.25">
      <c r="P33" s="148" t="s">
        <v>74</v>
      </c>
      <c r="Q33" s="149"/>
      <c r="R33" s="156"/>
      <c r="S33" s="152">
        <v>0</v>
      </c>
    </row>
    <row r="34" spans="16:19" x14ac:dyDescent="0.25">
      <c r="P34" s="148" t="s">
        <v>75</v>
      </c>
      <c r="Q34" s="149"/>
      <c r="R34" s="156"/>
      <c r="S34" s="152">
        <v>0</v>
      </c>
    </row>
    <row r="35" spans="16:19" x14ac:dyDescent="0.25">
      <c r="P35" s="148" t="s">
        <v>76</v>
      </c>
      <c r="Q35" s="7">
        <v>584</v>
      </c>
      <c r="R35" s="155">
        <v>0.09</v>
      </c>
      <c r="S35" s="151">
        <v>80</v>
      </c>
    </row>
    <row r="36" spans="16:19" x14ac:dyDescent="0.25">
      <c r="P36" s="148" t="s">
        <v>262</v>
      </c>
      <c r="Q36" s="149"/>
      <c r="R36" s="156"/>
      <c r="S36" s="152">
        <v>0</v>
      </c>
    </row>
    <row r="37" spans="16:19" x14ac:dyDescent="0.25">
      <c r="P37" s="148" t="s">
        <v>77</v>
      </c>
      <c r="Q37" s="149"/>
      <c r="R37" s="156"/>
      <c r="S37" s="152">
        <v>0</v>
      </c>
    </row>
    <row r="38" spans="16:19" x14ac:dyDescent="0.25">
      <c r="P38" s="288" t="s">
        <v>282</v>
      </c>
      <c r="Q38" s="289"/>
      <c r="R38" s="290"/>
      <c r="S38" s="286" t="s">
        <v>275</v>
      </c>
    </row>
    <row r="39" spans="16:19" x14ac:dyDescent="0.25">
      <c r="P39" s="15" t="s">
        <v>73</v>
      </c>
      <c r="Q39" s="140" t="s">
        <v>150</v>
      </c>
      <c r="R39" s="154" t="s">
        <v>151</v>
      </c>
      <c r="S39" s="287"/>
    </row>
    <row r="40" spans="16:19" x14ac:dyDescent="0.25">
      <c r="P40" s="148" t="s">
        <v>74</v>
      </c>
      <c r="Q40" s="7">
        <v>2091</v>
      </c>
      <c r="R40" s="155">
        <v>0.31</v>
      </c>
      <c r="S40" s="151">
        <v>200</v>
      </c>
    </row>
    <row r="41" spans="16:19" x14ac:dyDescent="0.25">
      <c r="P41" s="148" t="s">
        <v>75</v>
      </c>
      <c r="Q41" s="7">
        <v>4844</v>
      </c>
      <c r="R41" s="155">
        <v>0.71</v>
      </c>
      <c r="S41" s="151">
        <v>600</v>
      </c>
    </row>
    <row r="42" spans="16:19" x14ac:dyDescent="0.25">
      <c r="P42" s="148" t="s">
        <v>76</v>
      </c>
      <c r="Q42" s="7">
        <v>4951</v>
      </c>
      <c r="R42" s="155">
        <v>0.73</v>
      </c>
      <c r="S42" s="151">
        <v>750</v>
      </c>
    </row>
    <row r="43" spans="16:19" x14ac:dyDescent="0.25">
      <c r="P43" s="148" t="s">
        <v>262</v>
      </c>
      <c r="Q43" s="7">
        <v>11238</v>
      </c>
      <c r="R43" s="155">
        <v>1.66</v>
      </c>
      <c r="S43" s="151">
        <v>1500</v>
      </c>
    </row>
    <row r="44" spans="16:19" x14ac:dyDescent="0.25">
      <c r="P44" s="148" t="s">
        <v>77</v>
      </c>
      <c r="Q44" s="7">
        <v>1205</v>
      </c>
      <c r="R44" s="155">
        <v>0.18</v>
      </c>
      <c r="S44" s="151">
        <v>100</v>
      </c>
    </row>
    <row r="45" spans="16:19" x14ac:dyDescent="0.25">
      <c r="P45" s="288" t="s">
        <v>283</v>
      </c>
      <c r="Q45" s="289"/>
      <c r="R45" s="290"/>
      <c r="S45" s="286" t="s">
        <v>275</v>
      </c>
    </row>
    <row r="46" spans="16:19" x14ac:dyDescent="0.25">
      <c r="P46" s="15" t="s">
        <v>73</v>
      </c>
      <c r="Q46" s="140" t="s">
        <v>150</v>
      </c>
      <c r="R46" s="154" t="s">
        <v>151</v>
      </c>
      <c r="S46" s="287"/>
    </row>
    <row r="47" spans="16:19" x14ac:dyDescent="0.25">
      <c r="P47" s="148" t="s">
        <v>74</v>
      </c>
      <c r="Q47" s="149"/>
      <c r="R47" s="156"/>
      <c r="S47" s="152">
        <v>0</v>
      </c>
    </row>
    <row r="48" spans="16:19" x14ac:dyDescent="0.25">
      <c r="P48" s="148" t="s">
        <v>75</v>
      </c>
      <c r="Q48" s="149"/>
      <c r="R48" s="156"/>
      <c r="S48" s="152">
        <v>0</v>
      </c>
    </row>
    <row r="49" spans="16:19" x14ac:dyDescent="0.25">
      <c r="P49" s="148" t="s">
        <v>76</v>
      </c>
      <c r="Q49" s="7">
        <v>584</v>
      </c>
      <c r="R49" s="155">
        <v>0.09</v>
      </c>
      <c r="S49" s="151">
        <v>80</v>
      </c>
    </row>
    <row r="50" spans="16:19" x14ac:dyDescent="0.25">
      <c r="P50" s="148" t="s">
        <v>262</v>
      </c>
      <c r="Q50" s="149"/>
      <c r="R50" s="156"/>
      <c r="S50" s="152">
        <v>0</v>
      </c>
    </row>
    <row r="51" spans="16:19" x14ac:dyDescent="0.25">
      <c r="P51" s="148" t="s">
        <v>77</v>
      </c>
      <c r="Q51" s="149"/>
      <c r="R51" s="156"/>
      <c r="S51" s="152">
        <v>0</v>
      </c>
    </row>
    <row r="52" spans="16:19" x14ac:dyDescent="0.25">
      <c r="P52" s="288" t="s">
        <v>284</v>
      </c>
      <c r="Q52" s="289"/>
      <c r="R52" s="290"/>
      <c r="S52" s="286" t="s">
        <v>275</v>
      </c>
    </row>
    <row r="53" spans="16:19" x14ac:dyDescent="0.25">
      <c r="P53" s="15" t="s">
        <v>73</v>
      </c>
      <c r="Q53" s="140" t="s">
        <v>150</v>
      </c>
      <c r="R53" s="154" t="s">
        <v>151</v>
      </c>
      <c r="S53" s="287"/>
    </row>
    <row r="54" spans="16:19" x14ac:dyDescent="0.25">
      <c r="P54" s="148" t="s">
        <v>74</v>
      </c>
      <c r="Q54" s="7">
        <v>1472</v>
      </c>
      <c r="R54" s="155">
        <v>0.22</v>
      </c>
      <c r="S54" s="151">
        <v>150</v>
      </c>
    </row>
    <row r="55" spans="16:19" x14ac:dyDescent="0.25">
      <c r="P55" s="148" t="s">
        <v>75</v>
      </c>
      <c r="Q55" s="7">
        <v>828</v>
      </c>
      <c r="R55" s="155">
        <v>0.12</v>
      </c>
      <c r="S55" s="151">
        <v>100</v>
      </c>
    </row>
    <row r="56" spans="16:19" x14ac:dyDescent="0.25">
      <c r="P56" s="148" t="s">
        <v>76</v>
      </c>
      <c r="Q56" s="7">
        <v>2513</v>
      </c>
      <c r="R56" s="155">
        <v>0.37</v>
      </c>
      <c r="S56" s="151">
        <v>400</v>
      </c>
    </row>
    <row r="57" spans="16:19" x14ac:dyDescent="0.25">
      <c r="P57" s="148" t="s">
        <v>262</v>
      </c>
      <c r="Q57" s="7">
        <v>1987</v>
      </c>
      <c r="R57" s="155">
        <v>0.28999999999999998</v>
      </c>
      <c r="S57" s="151">
        <v>280</v>
      </c>
    </row>
    <row r="58" spans="16:19" x14ac:dyDescent="0.25">
      <c r="P58" s="148" t="s">
        <v>77</v>
      </c>
      <c r="Q58" s="149"/>
      <c r="R58" s="156"/>
      <c r="S58" s="152">
        <v>0</v>
      </c>
    </row>
    <row r="59" spans="16:19" x14ac:dyDescent="0.25">
      <c r="P59" s="10" t="s">
        <v>276</v>
      </c>
    </row>
  </sheetData>
  <sheetProtection algorithmName="SHA-512" hashValue="E4AX51zwCHRhrbYOL1+OMMfqZKJs7uk22MUloSkH5tGvp9Sm7LED5/ADOu3t8gddfPzpfCd+f1Oj1Qki5Pl7oQ==" saltValue="SsXnChIeBecOkoTrny640w==" spinCount="100000" sheet="1" objects="1" scenarios="1"/>
  <mergeCells count="24">
    <mergeCell ref="P10:R10"/>
    <mergeCell ref="P17:R17"/>
    <mergeCell ref="N3:N6"/>
    <mergeCell ref="S3:S4"/>
    <mergeCell ref="S10:S11"/>
    <mergeCell ref="S17:S18"/>
    <mergeCell ref="P3:R3"/>
    <mergeCell ref="I3:I6"/>
    <mergeCell ref="J4:J6"/>
    <mergeCell ref="K4:K6"/>
    <mergeCell ref="L4:L6"/>
    <mergeCell ref="M4:M6"/>
    <mergeCell ref="J3:K3"/>
    <mergeCell ref="L3:M3"/>
    <mergeCell ref="P38:R38"/>
    <mergeCell ref="P31:R31"/>
    <mergeCell ref="P24:R24"/>
    <mergeCell ref="P52:R52"/>
    <mergeCell ref="P45:R45"/>
    <mergeCell ref="S24:S25"/>
    <mergeCell ref="S31:S32"/>
    <mergeCell ref="S38:S39"/>
    <mergeCell ref="S45:S46"/>
    <mergeCell ref="S52:S53"/>
  </mergeCells>
  <conditionalFormatting sqref="C20:G20">
    <cfRule type="expression" dxfId="1" priority="1">
      <formula>C20="Not Eligible"</formula>
    </cfRule>
    <cfRule type="expression" dxfId="0" priority="2">
      <formula>C20="Eligible"</formula>
    </cfRule>
  </conditionalFormatting>
  <dataValidations count="3">
    <dataValidation type="list" allowBlank="1" showInputMessage="1" showErrorMessage="1" sqref="C4" xr:uid="{9223B4FE-9AC6-46D2-AE4F-EB6EFE4D7DEC}">
      <formula1>"Commercial Comprehensive, SCORE Plus"</formula1>
    </dataValidation>
    <dataValidation type="list" allowBlank="1" showInputMessage="1" showErrorMessage="1" sqref="C9:G9" xr:uid="{51170521-D2E1-4708-9828-23E28BBAFEDA}">
      <formula1>"Low w/ Elect. DHW+Booster, High w/ Elect. DHW+Booster, Low w/ Elect. DHW+Gas Booster, High w/ Elect. DHW+Gas Booster, Low w/ Gas DHW+Elect. Booster, High w/ Gas DHW+Elect. Booster, Low w/ Gas DHW+Booster, High w/ Gas DHW+Booster"</formula1>
    </dataValidation>
    <dataValidation type="list" allowBlank="1" showInputMessage="1" showErrorMessage="1" sqref="C10:G10" xr:uid="{10638FE1-983F-4743-B644-C4E53A4B6582}">
      <formula1>$I$7:$I$11</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7A9E2-17C7-4B7E-B678-DAB3B0E818A9}">
  <dimension ref="A1:G974"/>
  <sheetViews>
    <sheetView zoomScale="80" zoomScaleNormal="80" workbookViewId="0">
      <selection activeCell="B2" sqref="B2:F2"/>
    </sheetView>
  </sheetViews>
  <sheetFormatPr defaultColWidth="9.140625" defaultRowHeight="12.75" x14ac:dyDescent="0.25"/>
  <cols>
    <col min="1" max="1" width="2.7109375" style="45" customWidth="1"/>
    <col min="2" max="2" width="41" style="45" bestFit="1" customWidth="1"/>
    <col min="3" max="5" width="15.7109375" style="45" customWidth="1"/>
    <col min="6" max="6" width="15.7109375" style="35" customWidth="1"/>
    <col min="7" max="7" width="9.140625" style="35"/>
    <col min="8" max="16384" width="9.140625" style="45"/>
  </cols>
  <sheetData>
    <row r="1" spans="1:6" s="35" customFormat="1" ht="9.9499999999999993" customHeight="1" thickBot="1" x14ac:dyDescent="0.3">
      <c r="A1" s="34">
        <f>$C$23</f>
        <v>2026.1</v>
      </c>
    </row>
    <row r="2" spans="1:6" s="35" customFormat="1" ht="33" customHeight="1" thickBot="1" x14ac:dyDescent="0.3">
      <c r="B2" s="218" t="s">
        <v>120</v>
      </c>
      <c r="C2" s="219"/>
      <c r="D2" s="219"/>
      <c r="E2" s="219"/>
      <c r="F2" s="220"/>
    </row>
    <row r="3" spans="1:6" s="35" customFormat="1" ht="12" customHeight="1" thickBot="1" x14ac:dyDescent="0.3"/>
    <row r="4" spans="1:6" s="35" customFormat="1" ht="32.1" customHeight="1" thickBot="1" x14ac:dyDescent="0.3">
      <c r="B4" s="214" t="s">
        <v>121</v>
      </c>
      <c r="C4" s="36" t="s">
        <v>122</v>
      </c>
      <c r="D4" s="37" t="s">
        <v>123</v>
      </c>
    </row>
    <row r="5" spans="1:6" s="35" customFormat="1" ht="31.5" customHeight="1" x14ac:dyDescent="0.25">
      <c r="B5" s="215"/>
      <c r="C5" s="176">
        <f>SUM(C11:C21)</f>
        <v>0</v>
      </c>
      <c r="D5" s="177">
        <f>SUM(D11:D21)</f>
        <v>0</v>
      </c>
      <c r="E5" s="68"/>
    </row>
    <row r="6" spans="1:6" s="35" customFormat="1" ht="31.5" customHeight="1" thickBot="1" x14ac:dyDescent="0.3">
      <c r="B6" s="38" t="s">
        <v>39</v>
      </c>
      <c r="C6" s="216">
        <f>SUM(E11:E21)</f>
        <v>0</v>
      </c>
      <c r="D6" s="217"/>
      <c r="E6" s="69"/>
    </row>
    <row r="7" spans="1:6" s="35" customFormat="1" ht="12" customHeight="1" thickBot="1" x14ac:dyDescent="0.3"/>
    <row r="8" spans="1:6" s="35" customFormat="1" ht="18" customHeight="1" x14ac:dyDescent="0.25">
      <c r="C8" s="221" t="s">
        <v>124</v>
      </c>
      <c r="D8" s="222"/>
      <c r="E8" s="223"/>
      <c r="F8" s="224"/>
    </row>
    <row r="9" spans="1:6" s="35" customFormat="1" ht="18" customHeight="1" x14ac:dyDescent="0.25">
      <c r="C9" s="225"/>
      <c r="D9" s="226"/>
      <c r="E9" s="227"/>
      <c r="F9" s="228"/>
    </row>
    <row r="10" spans="1:6" s="35" customFormat="1" ht="36" customHeight="1" thickBot="1" x14ac:dyDescent="0.3">
      <c r="C10" s="39" t="s">
        <v>125</v>
      </c>
      <c r="D10" s="67" t="s">
        <v>123</v>
      </c>
      <c r="E10" s="70" t="s">
        <v>131</v>
      </c>
      <c r="F10" s="40" t="s">
        <v>130</v>
      </c>
    </row>
    <row r="11" spans="1:6" s="35" customFormat="1" ht="18" customHeight="1" x14ac:dyDescent="0.25">
      <c r="B11" s="41" t="s">
        <v>4</v>
      </c>
      <c r="C11" s="158">
        <f>SUM('Combi Ovens'!$C$22:$G$22)</f>
        <v>0</v>
      </c>
      <c r="D11" s="159">
        <f>SUM('Combi Ovens'!$C$23:$G$23)</f>
        <v>0</v>
      </c>
      <c r="E11" s="160">
        <f>SUM('Combi Ovens'!$C$24:$G$24)</f>
        <v>0</v>
      </c>
      <c r="F11" s="161">
        <v>12</v>
      </c>
    </row>
    <row r="12" spans="1:6" s="35" customFormat="1" ht="18" customHeight="1" x14ac:dyDescent="0.25">
      <c r="B12" s="42" t="s">
        <v>128</v>
      </c>
      <c r="C12" s="162">
        <f>SUM('Conv Ovens'!$C$17:$G$17)</f>
        <v>0</v>
      </c>
      <c r="D12" s="163">
        <f>SUM('Conv Ovens'!$C$18:$G$18)</f>
        <v>0</v>
      </c>
      <c r="E12" s="164">
        <f>SUM('Conv Ovens'!$C$19:$G$19)</f>
        <v>0</v>
      </c>
      <c r="F12" s="165">
        <v>12</v>
      </c>
    </row>
    <row r="13" spans="1:6" s="35" customFormat="1" ht="18" customHeight="1" x14ac:dyDescent="0.25">
      <c r="B13" s="42" t="s">
        <v>0</v>
      </c>
      <c r="C13" s="166">
        <f>SUM(Fryers!$C$17:$G$17)</f>
        <v>0</v>
      </c>
      <c r="D13" s="167">
        <f>SUM(Fryers!$C$18:$G$18)</f>
        <v>0</v>
      </c>
      <c r="E13" s="168">
        <f>SUM(Fryers!$C$19:$G$19)</f>
        <v>0</v>
      </c>
      <c r="F13" s="165">
        <v>12</v>
      </c>
    </row>
    <row r="14" spans="1:6" s="35" customFormat="1" ht="18" customHeight="1" x14ac:dyDescent="0.25">
      <c r="B14" s="66" t="s">
        <v>11</v>
      </c>
      <c r="C14" s="166">
        <f>SUM('Steam Cookers'!$C$18:$G$18)</f>
        <v>0</v>
      </c>
      <c r="D14" s="167">
        <f>SUM('Steam Cookers'!$C$19:$G$19)</f>
        <v>0</v>
      </c>
      <c r="E14" s="168">
        <f>SUM('Steam Cookers'!$C$20:$G$20)</f>
        <v>0</v>
      </c>
      <c r="F14" s="165">
        <v>12</v>
      </c>
    </row>
    <row r="15" spans="1:6" s="35" customFormat="1" ht="18" customHeight="1" x14ac:dyDescent="0.25">
      <c r="B15" s="42" t="s">
        <v>9</v>
      </c>
      <c r="C15" s="162">
        <f>SUM(HFHCs!$C$16:$G$16)</f>
        <v>0</v>
      </c>
      <c r="D15" s="163">
        <f>SUM(HFHCs!$C$17:$G$17)</f>
        <v>0</v>
      </c>
      <c r="E15" s="164">
        <f>SUM(HFHCs!$C$18:$G$18)</f>
        <v>0</v>
      </c>
      <c r="F15" s="165">
        <v>12</v>
      </c>
    </row>
    <row r="16" spans="1:6" s="35" customFormat="1" ht="18" customHeight="1" x14ac:dyDescent="0.25">
      <c r="B16" s="66" t="s">
        <v>12</v>
      </c>
      <c r="C16" s="166">
        <f>SUM('Ice Makers'!$C$20:$G$20)</f>
        <v>0</v>
      </c>
      <c r="D16" s="167">
        <f>SUM('Ice Makers'!$C$21:$G$21)</f>
        <v>0</v>
      </c>
      <c r="E16" s="168">
        <f>SUM('Ice Makers'!$C$22:$G$22)</f>
        <v>0</v>
      </c>
      <c r="F16" s="165">
        <v>8.5</v>
      </c>
    </row>
    <row r="17" spans="2:6" s="35" customFormat="1" ht="18" customHeight="1" x14ac:dyDescent="0.25">
      <c r="B17" s="66" t="s">
        <v>133</v>
      </c>
      <c r="C17" s="169">
        <f>SUMIF(Dishwashers!$C$10:$G$10,Dishwashers!$I$7,Dishwashers!$C$22:$G$22)</f>
        <v>0</v>
      </c>
      <c r="D17" s="170">
        <f>SUMIF(Dishwashers!$C$10:$G$10,Dishwashers!$I$7,Dishwashers!$C$23:$G$23)</f>
        <v>0</v>
      </c>
      <c r="E17" s="171">
        <f>SUMIF(Dishwashers!$C$10:$G$10,Dishwashers!$I$7,Dishwashers!$C$24:$G$24)</f>
        <v>0</v>
      </c>
      <c r="F17" s="165">
        <v>10</v>
      </c>
    </row>
    <row r="18" spans="2:6" s="35" customFormat="1" ht="18" customHeight="1" x14ac:dyDescent="0.25">
      <c r="B18" s="66" t="s">
        <v>134</v>
      </c>
      <c r="C18" s="169">
        <f>SUMIF(Dishwashers!$C$10:$G$10,Dishwashers!$I$8,Dishwashers!$C$22:$G$22)</f>
        <v>0</v>
      </c>
      <c r="D18" s="170">
        <f>SUMIF(Dishwashers!$C$10:$G$10,Dishwashers!$I$8,Dishwashers!$C$23:$G$23)</f>
        <v>0</v>
      </c>
      <c r="E18" s="171">
        <f>SUMIF(Dishwashers!$C$10:$G$10,Dishwashers!$I$8,Dishwashers!$C$24:$G$24)</f>
        <v>0</v>
      </c>
      <c r="F18" s="165">
        <v>15</v>
      </c>
    </row>
    <row r="19" spans="2:6" s="35" customFormat="1" ht="18" customHeight="1" x14ac:dyDescent="0.25">
      <c r="B19" s="66" t="s">
        <v>135</v>
      </c>
      <c r="C19" s="169">
        <f>SUMIF(Dishwashers!$C$10:$G$10,Dishwashers!$I$9,Dishwashers!$C$22:$G$22)</f>
        <v>0</v>
      </c>
      <c r="D19" s="170">
        <f>SUMIF(Dishwashers!$C$10:$G$10,Dishwashers!$I$9,Dishwashers!$C$23:$G$23)</f>
        <v>0</v>
      </c>
      <c r="E19" s="171">
        <f>SUMIF(Dishwashers!$C$10:$G$10,Dishwashers!$I$9,Dishwashers!$C$24:$G$24)</f>
        <v>0</v>
      </c>
      <c r="F19" s="165">
        <v>20</v>
      </c>
    </row>
    <row r="20" spans="2:6" s="35" customFormat="1" ht="18" customHeight="1" x14ac:dyDescent="0.25">
      <c r="B20" s="66" t="s">
        <v>136</v>
      </c>
      <c r="C20" s="169">
        <f>SUMIF(Dishwashers!$C$10:$G$10,Dishwashers!$I$10,Dishwashers!$C$22:$G$22)</f>
        <v>0</v>
      </c>
      <c r="D20" s="170">
        <f>SUMIF(Dishwashers!$C$10:$G$10,Dishwashers!$I$10,Dishwashers!$C$23:$G$23)</f>
        <v>0</v>
      </c>
      <c r="E20" s="171">
        <f>SUMIF(Dishwashers!$C$10:$G$10,Dishwashers!$I$10,Dishwashers!$C$24:$G$24)</f>
        <v>0</v>
      </c>
      <c r="F20" s="165">
        <v>20</v>
      </c>
    </row>
    <row r="21" spans="2:6" s="35" customFormat="1" ht="18" customHeight="1" thickBot="1" x14ac:dyDescent="0.3">
      <c r="B21" s="43" t="s">
        <v>137</v>
      </c>
      <c r="C21" s="172">
        <f>SUMIF(Dishwashers!$C$10:$G$10,Dishwashers!$I$11,Dishwashers!$C$22:$G$22)</f>
        <v>0</v>
      </c>
      <c r="D21" s="173">
        <f>SUMIF(Dishwashers!$C$10:$G$10,Dishwashers!$I$11,Dishwashers!$C$23:$G$23)</f>
        <v>0</v>
      </c>
      <c r="E21" s="174">
        <f>SUMIF(Dishwashers!$C$10:$G$10,Dishwashers!$I$11,Dishwashers!$C$24:$G$24)</f>
        <v>0</v>
      </c>
      <c r="F21" s="175">
        <v>10</v>
      </c>
    </row>
    <row r="22" spans="2:6" s="35" customFormat="1" ht="13.5" thickBot="1" x14ac:dyDescent="0.3"/>
    <row r="23" spans="2:6" s="35" customFormat="1" ht="18" customHeight="1" thickBot="1" x14ac:dyDescent="0.3">
      <c r="B23" s="44" t="s">
        <v>126</v>
      </c>
      <c r="C23" s="157">
        <v>2026.1</v>
      </c>
    </row>
    <row r="24" spans="2:6" s="35" customFormat="1" x14ac:dyDescent="0.25"/>
    <row r="25" spans="2:6" s="35" customFormat="1" x14ac:dyDescent="0.25"/>
    <row r="26" spans="2:6" s="35" customFormat="1" x14ac:dyDescent="0.25"/>
    <row r="27" spans="2:6" s="35" customFormat="1" x14ac:dyDescent="0.25"/>
    <row r="28" spans="2:6" s="35" customFormat="1" x14ac:dyDescent="0.25"/>
    <row r="29" spans="2:6" s="35" customFormat="1" x14ac:dyDescent="0.25"/>
    <row r="30" spans="2:6" s="35" customFormat="1" x14ac:dyDescent="0.25"/>
    <row r="31" spans="2:6" s="35" customFormat="1" x14ac:dyDescent="0.25"/>
    <row r="32" spans="2:6" s="35" customFormat="1" x14ac:dyDescent="0.25"/>
    <row r="33" s="35" customFormat="1" x14ac:dyDescent="0.25"/>
    <row r="34" s="35" customFormat="1" x14ac:dyDescent="0.25"/>
    <row r="35" s="35" customFormat="1" x14ac:dyDescent="0.25"/>
    <row r="36" s="35" customFormat="1" x14ac:dyDescent="0.25"/>
    <row r="37" s="35" customFormat="1" x14ac:dyDescent="0.25"/>
    <row r="38" s="35" customFormat="1" x14ac:dyDescent="0.25"/>
    <row r="39" s="35" customFormat="1" x14ac:dyDescent="0.25"/>
    <row r="40" s="35" customFormat="1" x14ac:dyDescent="0.25"/>
    <row r="41" s="35" customFormat="1" x14ac:dyDescent="0.25"/>
    <row r="42" s="35" customFormat="1" x14ac:dyDescent="0.25"/>
    <row r="43" s="35" customFormat="1" x14ac:dyDescent="0.25"/>
    <row r="44" s="35" customFormat="1" x14ac:dyDescent="0.25"/>
    <row r="45" s="35" customFormat="1" x14ac:dyDescent="0.25"/>
    <row r="46" s="35" customFormat="1" x14ac:dyDescent="0.25"/>
    <row r="47" s="35" customFormat="1" x14ac:dyDescent="0.25"/>
    <row r="48" s="35" customFormat="1" x14ac:dyDescent="0.25"/>
    <row r="49" s="35" customFormat="1" x14ac:dyDescent="0.25"/>
    <row r="50" s="35" customFormat="1" x14ac:dyDescent="0.25"/>
    <row r="51" s="35" customFormat="1" x14ac:dyDescent="0.25"/>
    <row r="52" s="35" customFormat="1" x14ac:dyDescent="0.25"/>
    <row r="53" s="35" customFormat="1" x14ac:dyDescent="0.25"/>
    <row r="54" s="35" customFormat="1" x14ac:dyDescent="0.25"/>
    <row r="55" s="35" customFormat="1" x14ac:dyDescent="0.25"/>
    <row r="56" s="35" customFormat="1" x14ac:dyDescent="0.25"/>
    <row r="57" s="35" customFormat="1" x14ac:dyDescent="0.25"/>
    <row r="58" s="35" customFormat="1" x14ac:dyDescent="0.25"/>
    <row r="59" s="35" customFormat="1" x14ac:dyDescent="0.25"/>
    <row r="60" s="35" customFormat="1" x14ac:dyDescent="0.25"/>
    <row r="61" s="35" customFormat="1" x14ac:dyDescent="0.25"/>
    <row r="62" s="35" customFormat="1" x14ac:dyDescent="0.25"/>
    <row r="63" s="35" customFormat="1" x14ac:dyDescent="0.25"/>
    <row r="64" s="35" customFormat="1" x14ac:dyDescent="0.25"/>
    <row r="65" s="35" customFormat="1" x14ac:dyDescent="0.25"/>
    <row r="66" s="35" customFormat="1" x14ac:dyDescent="0.25"/>
    <row r="67" s="35" customFormat="1" x14ac:dyDescent="0.25"/>
    <row r="68" s="35" customFormat="1" x14ac:dyDescent="0.25"/>
    <row r="69" s="35" customFormat="1" x14ac:dyDescent="0.25"/>
    <row r="70" s="35" customFormat="1" x14ac:dyDescent="0.25"/>
    <row r="71" s="35" customFormat="1" x14ac:dyDescent="0.25"/>
    <row r="72" s="35" customFormat="1" x14ac:dyDescent="0.25"/>
    <row r="73" s="35" customFormat="1" x14ac:dyDescent="0.25"/>
    <row r="74" s="35" customFormat="1" x14ac:dyDescent="0.25"/>
    <row r="75" s="35" customFormat="1" x14ac:dyDescent="0.25"/>
    <row r="76" s="35" customFormat="1" x14ac:dyDescent="0.25"/>
    <row r="77" s="35" customFormat="1" x14ac:dyDescent="0.25"/>
    <row r="78" s="35" customFormat="1" x14ac:dyDescent="0.25"/>
    <row r="79" s="35" customFormat="1" x14ac:dyDescent="0.25"/>
    <row r="80" s="35" customFormat="1" x14ac:dyDescent="0.25"/>
    <row r="81" s="35" customFormat="1" x14ac:dyDescent="0.25"/>
    <row r="82" s="35" customFormat="1" x14ac:dyDescent="0.25"/>
    <row r="83" s="35" customFormat="1" x14ac:dyDescent="0.25"/>
    <row r="84" s="35" customFormat="1" x14ac:dyDescent="0.25"/>
    <row r="85" s="35" customFormat="1" x14ac:dyDescent="0.25"/>
    <row r="86" s="35" customFormat="1" x14ac:dyDescent="0.25"/>
    <row r="87" s="35" customFormat="1" x14ac:dyDescent="0.25"/>
    <row r="88" s="35" customFormat="1" x14ac:dyDescent="0.25"/>
    <row r="89" s="35" customFormat="1" x14ac:dyDescent="0.25"/>
    <row r="90" s="35" customFormat="1" x14ac:dyDescent="0.25"/>
    <row r="91" s="35" customFormat="1" x14ac:dyDescent="0.25"/>
    <row r="92" s="35" customFormat="1" x14ac:dyDescent="0.25"/>
    <row r="93" s="35" customFormat="1" x14ac:dyDescent="0.25"/>
    <row r="94" s="35" customFormat="1" x14ac:dyDescent="0.25"/>
    <row r="95" s="35" customFormat="1" x14ac:dyDescent="0.25"/>
    <row r="96" s="35" customFormat="1" x14ac:dyDescent="0.25"/>
    <row r="97" s="35" customFormat="1" x14ac:dyDescent="0.25"/>
    <row r="98" s="35" customFormat="1" x14ac:dyDescent="0.25"/>
    <row r="99" s="35" customFormat="1" x14ac:dyDescent="0.25"/>
    <row r="100" s="35" customFormat="1" x14ac:dyDescent="0.25"/>
    <row r="101" s="35" customFormat="1" x14ac:dyDescent="0.25"/>
    <row r="102" s="35" customFormat="1" x14ac:dyDescent="0.25"/>
    <row r="103" s="35" customFormat="1" x14ac:dyDescent="0.25"/>
    <row r="104" s="35" customFormat="1" x14ac:dyDescent="0.25"/>
    <row r="105" s="35" customFormat="1" x14ac:dyDescent="0.25"/>
    <row r="106" s="35" customFormat="1" x14ac:dyDescent="0.25"/>
    <row r="107" s="35" customFormat="1" x14ac:dyDescent="0.25"/>
    <row r="108" s="35" customFormat="1" x14ac:dyDescent="0.25"/>
    <row r="109" s="35" customFormat="1" x14ac:dyDescent="0.25"/>
    <row r="110" s="35" customFormat="1" x14ac:dyDescent="0.25"/>
    <row r="111" s="35" customFormat="1" x14ac:dyDescent="0.25"/>
    <row r="112" s="35" customFormat="1" x14ac:dyDescent="0.25"/>
    <row r="113" s="35" customFormat="1" x14ac:dyDescent="0.25"/>
    <row r="114" s="35" customFormat="1" x14ac:dyDescent="0.25"/>
    <row r="115" s="35" customFormat="1" x14ac:dyDescent="0.25"/>
    <row r="116" s="35" customFormat="1" x14ac:dyDescent="0.25"/>
    <row r="117" s="35" customFormat="1" x14ac:dyDescent="0.25"/>
    <row r="118" s="35" customFormat="1" x14ac:dyDescent="0.25"/>
    <row r="119" s="35" customFormat="1" x14ac:dyDescent="0.25"/>
    <row r="120" s="35" customFormat="1" x14ac:dyDescent="0.25"/>
    <row r="121" s="35" customFormat="1" x14ac:dyDescent="0.25"/>
    <row r="122" s="35" customFormat="1" x14ac:dyDescent="0.25"/>
    <row r="123" s="35" customFormat="1" x14ac:dyDescent="0.25"/>
    <row r="124" s="35" customFormat="1" x14ac:dyDescent="0.25"/>
    <row r="125" s="35" customFormat="1" x14ac:dyDescent="0.25"/>
    <row r="126" s="35" customFormat="1" x14ac:dyDescent="0.25"/>
    <row r="127" s="35" customFormat="1" x14ac:dyDescent="0.25"/>
    <row r="128" s="35" customFormat="1" x14ac:dyDescent="0.25"/>
    <row r="129" s="35" customFormat="1" x14ac:dyDescent="0.25"/>
    <row r="130" s="35" customFormat="1" x14ac:dyDescent="0.25"/>
    <row r="131" s="35" customFormat="1" x14ac:dyDescent="0.25"/>
    <row r="132" s="35" customFormat="1" x14ac:dyDescent="0.25"/>
    <row r="133" s="35" customFormat="1" x14ac:dyDescent="0.25"/>
    <row r="134" s="35" customFormat="1" x14ac:dyDescent="0.25"/>
    <row r="135" s="35" customFormat="1" x14ac:dyDescent="0.25"/>
    <row r="136" s="35" customFormat="1" x14ac:dyDescent="0.25"/>
    <row r="137" s="35" customFormat="1" x14ac:dyDescent="0.25"/>
    <row r="138" s="35" customFormat="1" x14ac:dyDescent="0.25"/>
    <row r="139" s="35" customFormat="1" x14ac:dyDescent="0.25"/>
    <row r="140" s="35" customFormat="1" x14ac:dyDescent="0.25"/>
    <row r="141" s="35" customFormat="1" x14ac:dyDescent="0.25"/>
    <row r="142" s="35" customFormat="1" x14ac:dyDescent="0.25"/>
    <row r="143" s="35" customFormat="1" x14ac:dyDescent="0.25"/>
    <row r="144" s="35" customFormat="1" x14ac:dyDescent="0.25"/>
    <row r="145" s="35" customFormat="1" x14ac:dyDescent="0.25"/>
    <row r="146" s="35" customFormat="1" x14ac:dyDescent="0.25"/>
    <row r="147" s="35" customFormat="1" x14ac:dyDescent="0.25"/>
    <row r="148" s="35" customFormat="1" x14ac:dyDescent="0.25"/>
    <row r="149" s="35" customFormat="1" x14ac:dyDescent="0.25"/>
    <row r="150" s="35" customFormat="1" x14ac:dyDescent="0.25"/>
    <row r="151" s="35" customFormat="1" x14ac:dyDescent="0.25"/>
    <row r="152" s="35" customFormat="1" x14ac:dyDescent="0.25"/>
    <row r="153" s="35" customFormat="1" x14ac:dyDescent="0.25"/>
    <row r="154" s="35" customFormat="1" x14ac:dyDescent="0.25"/>
    <row r="155" s="35" customFormat="1" x14ac:dyDescent="0.25"/>
    <row r="156" s="35" customFormat="1" x14ac:dyDescent="0.25"/>
    <row r="157" s="35" customFormat="1" x14ac:dyDescent="0.25"/>
    <row r="158" s="35" customFormat="1" x14ac:dyDescent="0.25"/>
    <row r="159" s="35" customFormat="1" x14ac:dyDescent="0.25"/>
    <row r="160" s="35" customFormat="1" x14ac:dyDescent="0.25"/>
    <row r="161" s="35" customFormat="1" x14ac:dyDescent="0.25"/>
    <row r="162" s="35" customFormat="1" x14ac:dyDescent="0.25"/>
    <row r="163" s="35" customFormat="1" x14ac:dyDescent="0.25"/>
    <row r="164" s="35" customFormat="1" x14ac:dyDescent="0.25"/>
    <row r="165" s="35" customFormat="1" x14ac:dyDescent="0.25"/>
    <row r="166" s="35" customFormat="1" x14ac:dyDescent="0.25"/>
    <row r="167" s="35" customFormat="1" x14ac:dyDescent="0.25"/>
    <row r="168" s="35" customFormat="1" x14ac:dyDescent="0.25"/>
    <row r="169" s="35" customFormat="1" x14ac:dyDescent="0.25"/>
    <row r="170" s="35" customFormat="1" x14ac:dyDescent="0.25"/>
    <row r="171" s="35" customFormat="1" x14ac:dyDescent="0.25"/>
    <row r="172" s="35" customFormat="1" x14ac:dyDescent="0.25"/>
    <row r="173" s="35" customFormat="1" x14ac:dyDescent="0.25"/>
    <row r="174" s="35" customFormat="1" x14ac:dyDescent="0.25"/>
    <row r="175" s="35" customFormat="1" x14ac:dyDescent="0.25"/>
    <row r="176" s="35" customFormat="1" x14ac:dyDescent="0.25"/>
    <row r="177" s="35" customFormat="1" x14ac:dyDescent="0.25"/>
    <row r="178" s="35" customFormat="1" x14ac:dyDescent="0.25"/>
    <row r="179" s="35" customFormat="1" x14ac:dyDescent="0.25"/>
    <row r="180" s="35" customFormat="1" x14ac:dyDescent="0.25"/>
    <row r="181" s="35" customFormat="1" x14ac:dyDescent="0.25"/>
    <row r="182" s="35" customFormat="1" x14ac:dyDescent="0.25"/>
    <row r="183" s="35" customFormat="1" x14ac:dyDescent="0.25"/>
    <row r="184" s="35" customFormat="1" x14ac:dyDescent="0.25"/>
    <row r="185" s="35" customFormat="1" x14ac:dyDescent="0.25"/>
    <row r="186" s="35" customFormat="1" x14ac:dyDescent="0.25"/>
    <row r="187" s="35" customFormat="1" x14ac:dyDescent="0.25"/>
    <row r="188" s="35" customFormat="1" x14ac:dyDescent="0.25"/>
    <row r="189" s="35" customFormat="1" x14ac:dyDescent="0.25"/>
    <row r="190" s="35" customFormat="1" x14ac:dyDescent="0.25"/>
    <row r="191" s="35" customFormat="1" x14ac:dyDescent="0.25"/>
    <row r="192" s="35" customFormat="1" x14ac:dyDescent="0.25"/>
    <row r="193" s="35" customFormat="1" x14ac:dyDescent="0.25"/>
    <row r="194" s="35" customFormat="1" x14ac:dyDescent="0.25"/>
    <row r="195" s="35" customFormat="1" x14ac:dyDescent="0.25"/>
    <row r="196" s="35" customFormat="1" x14ac:dyDescent="0.25"/>
    <row r="197" s="35" customFormat="1" x14ac:dyDescent="0.25"/>
    <row r="198" s="35" customFormat="1" x14ac:dyDescent="0.25"/>
    <row r="199" s="35" customFormat="1" x14ac:dyDescent="0.25"/>
    <row r="200" s="35" customFormat="1" x14ac:dyDescent="0.25"/>
    <row r="201" s="35" customFormat="1" x14ac:dyDescent="0.25"/>
    <row r="202" s="35" customFormat="1" x14ac:dyDescent="0.25"/>
    <row r="203" s="35" customFormat="1" x14ac:dyDescent="0.25"/>
    <row r="204" s="35" customFormat="1" x14ac:dyDescent="0.25"/>
    <row r="205" s="35" customFormat="1" x14ac:dyDescent="0.25"/>
    <row r="206" s="35" customFormat="1" x14ac:dyDescent="0.25"/>
    <row r="207" s="35" customFormat="1" x14ac:dyDescent="0.25"/>
    <row r="208" s="35" customFormat="1" x14ac:dyDescent="0.25"/>
    <row r="209" s="35" customFormat="1" x14ac:dyDescent="0.25"/>
    <row r="210" s="35" customFormat="1" x14ac:dyDescent="0.25"/>
    <row r="211" s="35" customFormat="1" x14ac:dyDescent="0.25"/>
    <row r="212" s="35" customFormat="1" x14ac:dyDescent="0.25"/>
    <row r="213" s="35" customFormat="1" x14ac:dyDescent="0.25"/>
    <row r="214" s="35" customFormat="1" x14ac:dyDescent="0.25"/>
    <row r="215" s="35" customFormat="1" x14ac:dyDescent="0.25"/>
    <row r="216" s="35" customFormat="1" x14ac:dyDescent="0.25"/>
    <row r="217" s="35" customFormat="1" x14ac:dyDescent="0.25"/>
    <row r="218" s="35" customFormat="1" x14ac:dyDescent="0.25"/>
    <row r="219" s="35" customFormat="1" x14ac:dyDescent="0.25"/>
    <row r="220" s="35" customFormat="1" x14ac:dyDescent="0.25"/>
    <row r="221" s="35" customFormat="1" x14ac:dyDescent="0.25"/>
    <row r="222" s="35" customFormat="1" x14ac:dyDescent="0.25"/>
    <row r="223" s="35" customFormat="1" x14ac:dyDescent="0.25"/>
    <row r="224" s="35" customFormat="1" x14ac:dyDescent="0.25"/>
    <row r="225" s="35" customFormat="1" x14ac:dyDescent="0.25"/>
    <row r="226" s="35" customFormat="1" x14ac:dyDescent="0.25"/>
    <row r="227" s="35" customFormat="1" x14ac:dyDescent="0.25"/>
    <row r="228" s="35" customFormat="1" x14ac:dyDescent="0.25"/>
    <row r="229" s="35" customFormat="1" x14ac:dyDescent="0.25"/>
    <row r="230" s="35" customFormat="1" x14ac:dyDescent="0.25"/>
    <row r="231" s="35" customFormat="1" x14ac:dyDescent="0.25"/>
    <row r="232" s="35" customFormat="1" x14ac:dyDescent="0.25"/>
    <row r="233" s="35" customFormat="1" x14ac:dyDescent="0.25"/>
    <row r="234" s="35" customFormat="1" x14ac:dyDescent="0.25"/>
    <row r="235" s="35" customFormat="1" x14ac:dyDescent="0.25"/>
    <row r="236" s="35" customFormat="1" x14ac:dyDescent="0.25"/>
    <row r="237" s="35" customFormat="1" x14ac:dyDescent="0.25"/>
    <row r="238" s="35" customFormat="1" x14ac:dyDescent="0.25"/>
    <row r="239" s="35" customFormat="1" x14ac:dyDescent="0.25"/>
    <row r="240" s="35" customFormat="1" x14ac:dyDescent="0.25"/>
    <row r="241" s="35" customFormat="1" x14ac:dyDescent="0.25"/>
    <row r="242" s="35" customFormat="1" x14ac:dyDescent="0.25"/>
    <row r="243" s="35" customFormat="1" x14ac:dyDescent="0.25"/>
    <row r="244" s="35" customFormat="1" x14ac:dyDescent="0.25"/>
    <row r="245" s="35" customFormat="1" x14ac:dyDescent="0.25"/>
    <row r="246" s="35" customFormat="1" x14ac:dyDescent="0.25"/>
    <row r="247" s="35" customFormat="1" x14ac:dyDescent="0.25"/>
    <row r="248" s="35" customFormat="1" x14ac:dyDescent="0.25"/>
    <row r="249" s="35" customFormat="1" x14ac:dyDescent="0.25"/>
    <row r="250" s="35" customFormat="1" x14ac:dyDescent="0.25"/>
    <row r="251" s="35" customFormat="1" x14ac:dyDescent="0.25"/>
    <row r="252" s="35" customFormat="1" x14ac:dyDescent="0.25"/>
    <row r="253" s="35" customFormat="1" x14ac:dyDescent="0.25"/>
    <row r="254" s="35" customFormat="1" x14ac:dyDescent="0.25"/>
    <row r="255" s="35" customFormat="1" x14ac:dyDescent="0.25"/>
    <row r="256" s="35" customFormat="1" x14ac:dyDescent="0.25"/>
    <row r="257" s="35" customFormat="1" x14ac:dyDescent="0.25"/>
    <row r="258" s="35" customFormat="1" x14ac:dyDescent="0.25"/>
    <row r="259" s="35" customFormat="1" x14ac:dyDescent="0.25"/>
    <row r="260" s="35" customFormat="1" x14ac:dyDescent="0.25"/>
    <row r="261" s="35" customFormat="1" x14ac:dyDescent="0.25"/>
    <row r="262" s="35" customFormat="1" x14ac:dyDescent="0.25"/>
    <row r="263" s="35" customFormat="1" x14ac:dyDescent="0.25"/>
    <row r="264" s="35" customFormat="1" x14ac:dyDescent="0.25"/>
    <row r="265" s="35" customFormat="1" x14ac:dyDescent="0.25"/>
    <row r="266" s="35" customFormat="1" x14ac:dyDescent="0.25"/>
    <row r="267" s="35" customFormat="1" x14ac:dyDescent="0.25"/>
    <row r="268" s="35" customFormat="1" x14ac:dyDescent="0.25"/>
    <row r="269" s="35" customFormat="1" x14ac:dyDescent="0.25"/>
    <row r="270" s="35" customFormat="1" x14ac:dyDescent="0.25"/>
    <row r="271" s="35" customFormat="1" x14ac:dyDescent="0.25"/>
    <row r="272" s="35" customFormat="1" x14ac:dyDescent="0.25"/>
    <row r="273" s="35" customFormat="1" x14ac:dyDescent="0.25"/>
    <row r="274" s="35" customFormat="1" x14ac:dyDescent="0.25"/>
    <row r="275" s="35" customFormat="1" x14ac:dyDescent="0.25"/>
    <row r="276" s="35" customFormat="1" x14ac:dyDescent="0.25"/>
    <row r="277" s="35" customFormat="1" x14ac:dyDescent="0.25"/>
    <row r="278" s="35" customFormat="1" x14ac:dyDescent="0.25"/>
    <row r="279" s="35" customFormat="1" x14ac:dyDescent="0.25"/>
    <row r="280" s="35" customFormat="1" x14ac:dyDescent="0.25"/>
    <row r="281" s="35" customFormat="1" x14ac:dyDescent="0.25"/>
    <row r="282" s="35" customFormat="1" x14ac:dyDescent="0.25"/>
    <row r="283" s="35" customFormat="1" x14ac:dyDescent="0.25"/>
    <row r="284" s="35" customFormat="1" x14ac:dyDescent="0.25"/>
    <row r="285" s="35" customFormat="1" x14ac:dyDescent="0.25"/>
    <row r="286" s="35" customFormat="1" x14ac:dyDescent="0.25"/>
    <row r="287" s="35" customFormat="1" x14ac:dyDescent="0.25"/>
    <row r="288" s="35" customFormat="1" x14ac:dyDescent="0.25"/>
    <row r="289" s="35" customFormat="1" x14ac:dyDescent="0.25"/>
    <row r="290" s="35" customFormat="1" x14ac:dyDescent="0.25"/>
    <row r="291" s="35" customFormat="1" x14ac:dyDescent="0.25"/>
    <row r="292" s="35" customFormat="1" x14ac:dyDescent="0.25"/>
    <row r="293" s="35" customFormat="1" x14ac:dyDescent="0.25"/>
    <row r="294" s="35" customFormat="1" x14ac:dyDescent="0.25"/>
    <row r="295" s="35" customFormat="1" x14ac:dyDescent="0.25"/>
    <row r="296" s="35" customFormat="1" x14ac:dyDescent="0.25"/>
    <row r="297" s="35" customFormat="1" x14ac:dyDescent="0.25"/>
    <row r="298" s="35" customFormat="1" x14ac:dyDescent="0.25"/>
    <row r="299" s="35" customFormat="1" x14ac:dyDescent="0.25"/>
    <row r="300" s="35" customFormat="1" x14ac:dyDescent="0.25"/>
    <row r="301" s="35" customFormat="1" x14ac:dyDescent="0.25"/>
    <row r="302" s="35" customFormat="1" x14ac:dyDescent="0.25"/>
    <row r="303" s="35" customFormat="1" x14ac:dyDescent="0.25"/>
    <row r="304" s="35" customFormat="1" x14ac:dyDescent="0.25"/>
    <row r="305" s="35" customFormat="1" x14ac:dyDescent="0.25"/>
    <row r="306" s="35" customFormat="1" x14ac:dyDescent="0.25"/>
    <row r="307" s="35" customFormat="1" x14ac:dyDescent="0.25"/>
    <row r="308" s="35" customFormat="1" x14ac:dyDescent="0.25"/>
    <row r="309" s="35" customFormat="1" x14ac:dyDescent="0.25"/>
    <row r="310" s="35" customFormat="1" x14ac:dyDescent="0.25"/>
    <row r="311" s="35" customFormat="1" x14ac:dyDescent="0.25"/>
    <row r="312" s="35" customFormat="1" x14ac:dyDescent="0.25"/>
    <row r="313" s="35" customFormat="1" x14ac:dyDescent="0.25"/>
    <row r="314" s="35" customFormat="1" x14ac:dyDescent="0.25"/>
    <row r="315" s="35" customFormat="1" x14ac:dyDescent="0.25"/>
    <row r="316" s="35" customFormat="1" x14ac:dyDescent="0.25"/>
    <row r="317" s="35" customFormat="1" x14ac:dyDescent="0.25"/>
    <row r="318" s="35" customFormat="1" x14ac:dyDescent="0.25"/>
    <row r="319" s="35" customFormat="1" x14ac:dyDescent="0.25"/>
    <row r="320" s="35" customFormat="1" x14ac:dyDescent="0.25"/>
    <row r="321" s="35" customFormat="1" x14ac:dyDescent="0.25"/>
    <row r="322" s="35" customFormat="1" x14ac:dyDescent="0.25"/>
    <row r="323" s="35" customFormat="1" x14ac:dyDescent="0.25"/>
    <row r="324" s="35" customFormat="1" x14ac:dyDescent="0.25"/>
    <row r="325" s="35" customFormat="1" x14ac:dyDescent="0.25"/>
    <row r="326" s="35" customFormat="1" x14ac:dyDescent="0.25"/>
    <row r="327" s="35" customFormat="1" x14ac:dyDescent="0.25"/>
    <row r="328" s="35" customFormat="1" x14ac:dyDescent="0.25"/>
    <row r="329" s="35" customFormat="1" x14ac:dyDescent="0.25"/>
    <row r="330" s="35" customFormat="1" x14ac:dyDescent="0.25"/>
    <row r="331" s="35" customFormat="1" x14ac:dyDescent="0.25"/>
    <row r="332" s="35" customFormat="1" x14ac:dyDescent="0.25"/>
    <row r="333" s="35" customFormat="1" x14ac:dyDescent="0.25"/>
    <row r="334" s="35" customFormat="1" x14ac:dyDescent="0.25"/>
    <row r="335" s="35" customFormat="1" x14ac:dyDescent="0.25"/>
    <row r="336" s="35" customFormat="1" x14ac:dyDescent="0.25"/>
    <row r="337" s="35" customFormat="1" x14ac:dyDescent="0.25"/>
    <row r="338" s="35" customFormat="1" x14ac:dyDescent="0.25"/>
    <row r="339" s="35" customFormat="1" x14ac:dyDescent="0.25"/>
    <row r="340" s="35" customFormat="1" x14ac:dyDescent="0.25"/>
    <row r="341" s="35" customFormat="1" x14ac:dyDescent="0.25"/>
    <row r="342" s="35" customFormat="1" x14ac:dyDescent="0.25"/>
    <row r="343" s="35" customFormat="1" x14ac:dyDescent="0.25"/>
    <row r="344" s="35" customFormat="1" x14ac:dyDescent="0.25"/>
    <row r="345" s="35" customFormat="1" x14ac:dyDescent="0.25"/>
    <row r="346" s="35" customFormat="1" x14ac:dyDescent="0.25"/>
    <row r="347" s="35" customFormat="1" x14ac:dyDescent="0.25"/>
    <row r="348" s="35" customFormat="1" x14ac:dyDescent="0.25"/>
    <row r="349" s="35" customFormat="1" x14ac:dyDescent="0.25"/>
    <row r="350" s="35" customFormat="1" x14ac:dyDescent="0.25"/>
    <row r="351" s="35" customFormat="1" x14ac:dyDescent="0.25"/>
    <row r="352" s="35" customFormat="1" x14ac:dyDescent="0.25"/>
    <row r="353" s="35" customFormat="1" x14ac:dyDescent="0.25"/>
    <row r="354" s="35" customFormat="1" x14ac:dyDescent="0.25"/>
    <row r="355" s="35" customFormat="1" x14ac:dyDescent="0.25"/>
    <row r="356" s="35" customFormat="1" x14ac:dyDescent="0.25"/>
    <row r="357" s="35" customFormat="1" x14ac:dyDescent="0.25"/>
    <row r="358" s="35" customFormat="1" x14ac:dyDescent="0.25"/>
    <row r="359" s="35" customFormat="1" x14ac:dyDescent="0.25"/>
    <row r="360" s="35" customFormat="1" x14ac:dyDescent="0.25"/>
    <row r="361" s="35" customFormat="1" x14ac:dyDescent="0.25"/>
    <row r="362" s="35" customFormat="1" x14ac:dyDescent="0.25"/>
    <row r="363" s="35" customFormat="1" x14ac:dyDescent="0.25"/>
    <row r="364" s="35" customFormat="1" x14ac:dyDescent="0.25"/>
    <row r="365" s="35" customFormat="1" x14ac:dyDescent="0.25"/>
    <row r="366" s="35" customFormat="1" x14ac:dyDescent="0.25"/>
    <row r="367" s="35" customFormat="1" x14ac:dyDescent="0.25"/>
    <row r="368" s="35" customFormat="1" x14ac:dyDescent="0.25"/>
    <row r="369" s="35" customFormat="1" x14ac:dyDescent="0.25"/>
    <row r="370" s="35" customFormat="1" x14ac:dyDescent="0.25"/>
    <row r="371" s="35" customFormat="1" x14ac:dyDescent="0.25"/>
    <row r="372" s="35" customFormat="1" x14ac:dyDescent="0.25"/>
    <row r="373" s="35" customFormat="1" x14ac:dyDescent="0.25"/>
    <row r="374" s="35" customFormat="1" x14ac:dyDescent="0.25"/>
    <row r="375" s="35" customFormat="1" x14ac:dyDescent="0.25"/>
    <row r="376" s="35" customFormat="1" x14ac:dyDescent="0.25"/>
    <row r="377" s="35" customFormat="1" x14ac:dyDescent="0.25"/>
    <row r="378" s="35" customFormat="1" x14ac:dyDescent="0.25"/>
    <row r="379" s="35" customFormat="1" x14ac:dyDescent="0.25"/>
    <row r="380" s="35" customFormat="1" x14ac:dyDescent="0.25"/>
    <row r="381" s="35" customFormat="1" x14ac:dyDescent="0.25"/>
    <row r="382" s="35" customFormat="1" x14ac:dyDescent="0.25"/>
    <row r="383" s="35" customFormat="1" x14ac:dyDescent="0.25"/>
    <row r="384" s="35" customFormat="1" x14ac:dyDescent="0.25"/>
    <row r="385" s="35" customFormat="1" x14ac:dyDescent="0.25"/>
    <row r="386" s="35" customFormat="1" x14ac:dyDescent="0.25"/>
    <row r="387" s="35" customFormat="1" x14ac:dyDescent="0.25"/>
    <row r="388" s="35" customFormat="1" x14ac:dyDescent="0.25"/>
    <row r="389" s="35" customFormat="1" x14ac:dyDescent="0.25"/>
    <row r="390" s="35" customFormat="1" x14ac:dyDescent="0.25"/>
    <row r="391" s="35" customFormat="1" x14ac:dyDescent="0.25"/>
    <row r="392" s="35" customFormat="1" x14ac:dyDescent="0.25"/>
    <row r="393" s="35" customFormat="1" x14ac:dyDescent="0.25"/>
    <row r="394" s="35" customFormat="1" x14ac:dyDescent="0.25"/>
    <row r="395" s="35" customFormat="1" x14ac:dyDescent="0.25"/>
    <row r="396" s="35" customFormat="1" x14ac:dyDescent="0.25"/>
    <row r="397" s="35" customFormat="1" x14ac:dyDescent="0.25"/>
    <row r="398" s="35" customFormat="1" x14ac:dyDescent="0.25"/>
    <row r="399" s="35" customFormat="1" x14ac:dyDescent="0.25"/>
    <row r="400" s="35" customFormat="1" x14ac:dyDescent="0.25"/>
    <row r="401" s="35" customFormat="1" x14ac:dyDescent="0.25"/>
    <row r="402" s="35" customFormat="1" x14ac:dyDescent="0.25"/>
    <row r="403" s="35" customFormat="1" x14ac:dyDescent="0.25"/>
    <row r="404" s="35" customFormat="1" x14ac:dyDescent="0.25"/>
    <row r="405" s="35" customFormat="1" x14ac:dyDescent="0.25"/>
    <row r="406" s="35" customFormat="1" x14ac:dyDescent="0.25"/>
    <row r="407" s="35" customFormat="1" x14ac:dyDescent="0.25"/>
    <row r="408" s="35" customFormat="1" x14ac:dyDescent="0.25"/>
    <row r="409" s="35" customFormat="1" x14ac:dyDescent="0.25"/>
    <row r="410" s="35" customFormat="1" x14ac:dyDescent="0.25"/>
    <row r="411" s="35" customFormat="1" x14ac:dyDescent="0.25"/>
    <row r="412" s="35" customFormat="1" x14ac:dyDescent="0.25"/>
    <row r="413" s="35" customFormat="1" x14ac:dyDescent="0.25"/>
    <row r="414" s="35" customFormat="1" x14ac:dyDescent="0.25"/>
    <row r="415" s="35" customFormat="1" x14ac:dyDescent="0.25"/>
    <row r="416" s="35" customFormat="1" x14ac:dyDescent="0.25"/>
    <row r="417" s="35" customFormat="1" x14ac:dyDescent="0.25"/>
    <row r="418" s="35" customFormat="1" x14ac:dyDescent="0.25"/>
    <row r="419" s="35" customFormat="1" x14ac:dyDescent="0.25"/>
    <row r="420" s="35" customFormat="1" x14ac:dyDescent="0.25"/>
    <row r="421" s="35" customFormat="1" x14ac:dyDescent="0.25"/>
    <row r="422" s="35" customFormat="1" x14ac:dyDescent="0.25"/>
    <row r="423" s="35" customFormat="1" x14ac:dyDescent="0.25"/>
    <row r="424" s="35" customFormat="1" x14ac:dyDescent="0.25"/>
    <row r="425" s="35" customFormat="1" x14ac:dyDescent="0.25"/>
    <row r="426" s="35" customFormat="1" x14ac:dyDescent="0.25"/>
    <row r="427" s="35" customFormat="1" x14ac:dyDescent="0.25"/>
    <row r="428" s="35" customFormat="1" x14ac:dyDescent="0.25"/>
    <row r="429" s="35" customFormat="1" x14ac:dyDescent="0.25"/>
    <row r="430" s="35" customFormat="1" x14ac:dyDescent="0.25"/>
    <row r="431" s="35" customFormat="1" x14ac:dyDescent="0.25"/>
    <row r="432" s="35" customFormat="1" x14ac:dyDescent="0.25"/>
    <row r="433" s="35" customFormat="1" x14ac:dyDescent="0.25"/>
    <row r="434" s="35" customFormat="1" x14ac:dyDescent="0.25"/>
    <row r="435" s="35" customFormat="1" x14ac:dyDescent="0.25"/>
    <row r="436" s="35" customFormat="1" x14ac:dyDescent="0.25"/>
    <row r="437" s="35" customFormat="1" x14ac:dyDescent="0.25"/>
    <row r="438" s="35" customFormat="1" x14ac:dyDescent="0.25"/>
    <row r="439" s="35" customFormat="1" x14ac:dyDescent="0.25"/>
    <row r="440" s="35" customFormat="1" x14ac:dyDescent="0.25"/>
    <row r="441" s="35" customFormat="1" x14ac:dyDescent="0.25"/>
    <row r="442" s="35" customFormat="1" x14ac:dyDescent="0.25"/>
    <row r="443" s="35" customFormat="1" x14ac:dyDescent="0.25"/>
    <row r="444" s="35" customFormat="1" x14ac:dyDescent="0.25"/>
    <row r="445" s="35" customFormat="1" x14ac:dyDescent="0.25"/>
    <row r="446" s="35" customFormat="1" x14ac:dyDescent="0.25"/>
    <row r="447" s="35" customFormat="1" x14ac:dyDescent="0.25"/>
    <row r="448" s="35" customFormat="1" x14ac:dyDescent="0.25"/>
    <row r="449" s="35" customFormat="1" x14ac:dyDescent="0.25"/>
    <row r="450" s="35" customFormat="1" x14ac:dyDescent="0.25"/>
    <row r="451" s="35" customFormat="1" x14ac:dyDescent="0.25"/>
    <row r="452" s="35" customFormat="1" x14ac:dyDescent="0.25"/>
    <row r="453" s="35" customFormat="1" x14ac:dyDescent="0.25"/>
    <row r="454" s="35" customFormat="1" x14ac:dyDescent="0.25"/>
    <row r="455" s="35" customFormat="1" x14ac:dyDescent="0.25"/>
    <row r="456" s="35" customFormat="1" x14ac:dyDescent="0.25"/>
    <row r="457" s="35" customFormat="1" x14ac:dyDescent="0.25"/>
    <row r="458" s="35" customFormat="1" x14ac:dyDescent="0.25"/>
    <row r="459" s="35" customFormat="1" x14ac:dyDescent="0.25"/>
    <row r="460" s="35" customFormat="1" x14ac:dyDescent="0.25"/>
    <row r="461" s="35" customFormat="1" x14ac:dyDescent="0.25"/>
    <row r="462" s="35" customFormat="1" x14ac:dyDescent="0.25"/>
    <row r="463" s="35" customFormat="1" x14ac:dyDescent="0.25"/>
    <row r="464" s="35" customFormat="1" x14ac:dyDescent="0.25"/>
    <row r="465" s="35" customFormat="1" x14ac:dyDescent="0.25"/>
    <row r="466" s="35" customFormat="1" x14ac:dyDescent="0.25"/>
    <row r="467" s="35" customFormat="1" x14ac:dyDescent="0.25"/>
    <row r="468" s="35" customFormat="1" x14ac:dyDescent="0.25"/>
    <row r="469" s="35" customFormat="1" x14ac:dyDescent="0.25"/>
    <row r="470" s="35" customFormat="1" x14ac:dyDescent="0.25"/>
    <row r="471" s="35" customFormat="1" x14ac:dyDescent="0.25"/>
    <row r="472" s="35" customFormat="1" x14ac:dyDescent="0.25"/>
    <row r="473" s="35" customFormat="1" x14ac:dyDescent="0.25"/>
    <row r="474" s="35" customFormat="1" x14ac:dyDescent="0.25"/>
    <row r="475" s="35" customFormat="1" x14ac:dyDescent="0.25"/>
    <row r="476" s="35" customFormat="1" x14ac:dyDescent="0.25"/>
    <row r="477" s="35" customFormat="1" x14ac:dyDescent="0.25"/>
    <row r="478" s="35" customFormat="1" x14ac:dyDescent="0.25"/>
    <row r="479" s="35" customFormat="1" x14ac:dyDescent="0.25"/>
    <row r="480" s="35" customFormat="1" x14ac:dyDescent="0.25"/>
    <row r="481" s="35" customFormat="1" x14ac:dyDescent="0.25"/>
    <row r="482" s="35" customFormat="1" x14ac:dyDescent="0.25"/>
    <row r="483" s="35" customFormat="1" x14ac:dyDescent="0.25"/>
    <row r="484" s="35" customFormat="1" x14ac:dyDescent="0.25"/>
    <row r="485" s="35" customFormat="1" x14ac:dyDescent="0.25"/>
    <row r="486" s="35" customFormat="1" x14ac:dyDescent="0.25"/>
    <row r="487" s="35" customFormat="1" x14ac:dyDescent="0.25"/>
    <row r="488" s="35" customFormat="1" x14ac:dyDescent="0.25"/>
    <row r="489" s="35" customFormat="1" x14ac:dyDescent="0.25"/>
    <row r="490" s="35" customFormat="1" x14ac:dyDescent="0.25"/>
    <row r="491" s="35" customFormat="1" x14ac:dyDescent="0.25"/>
    <row r="492" s="35" customFormat="1" x14ac:dyDescent="0.25"/>
    <row r="493" s="35" customFormat="1" x14ac:dyDescent="0.25"/>
    <row r="494" s="35" customFormat="1" x14ac:dyDescent="0.25"/>
    <row r="495" s="35" customFormat="1" x14ac:dyDescent="0.25"/>
    <row r="496" s="35" customFormat="1" x14ac:dyDescent="0.25"/>
    <row r="497" s="35" customFormat="1" x14ac:dyDescent="0.25"/>
    <row r="498" s="35" customFormat="1" x14ac:dyDescent="0.25"/>
    <row r="499" s="35" customFormat="1" x14ac:dyDescent="0.25"/>
    <row r="500" s="35" customFormat="1" x14ac:dyDescent="0.25"/>
    <row r="501" s="35" customFormat="1" x14ac:dyDescent="0.25"/>
    <row r="502" s="35" customFormat="1" x14ac:dyDescent="0.25"/>
    <row r="503" s="35" customFormat="1" x14ac:dyDescent="0.25"/>
    <row r="504" s="35" customFormat="1" x14ac:dyDescent="0.25"/>
    <row r="505" s="35" customFormat="1" x14ac:dyDescent="0.25"/>
    <row r="506" s="35" customFormat="1" x14ac:dyDescent="0.25"/>
    <row r="507" s="35" customFormat="1" x14ac:dyDescent="0.25"/>
    <row r="508" s="35" customFormat="1" x14ac:dyDescent="0.25"/>
    <row r="509" s="35" customFormat="1" x14ac:dyDescent="0.25"/>
    <row r="510" s="35" customFormat="1" x14ac:dyDescent="0.25"/>
    <row r="511" s="35" customFormat="1" x14ac:dyDescent="0.25"/>
    <row r="512" s="35" customFormat="1" x14ac:dyDescent="0.25"/>
    <row r="513" s="35" customFormat="1" x14ac:dyDescent="0.25"/>
    <row r="514" s="35" customFormat="1" x14ac:dyDescent="0.25"/>
    <row r="515" s="35" customFormat="1" x14ac:dyDescent="0.25"/>
    <row r="516" s="35" customFormat="1" x14ac:dyDescent="0.25"/>
    <row r="517" s="35" customFormat="1" x14ac:dyDescent="0.25"/>
    <row r="518" s="35" customFormat="1" x14ac:dyDescent="0.25"/>
    <row r="519" s="35" customFormat="1" x14ac:dyDescent="0.25"/>
    <row r="520" s="35" customFormat="1" x14ac:dyDescent="0.25"/>
    <row r="521" s="35" customFormat="1" x14ac:dyDescent="0.25"/>
    <row r="522" s="35" customFormat="1" x14ac:dyDescent="0.25"/>
    <row r="523" s="35" customFormat="1" x14ac:dyDescent="0.25"/>
    <row r="524" s="35" customFormat="1" x14ac:dyDescent="0.25"/>
    <row r="525" s="35" customFormat="1" x14ac:dyDescent="0.25"/>
    <row r="526" s="35" customFormat="1" x14ac:dyDescent="0.25"/>
    <row r="527" s="35" customFormat="1" x14ac:dyDescent="0.25"/>
    <row r="528" s="35" customFormat="1" x14ac:dyDescent="0.25"/>
    <row r="529" s="35" customFormat="1" x14ac:dyDescent="0.25"/>
    <row r="530" s="35" customFormat="1" x14ac:dyDescent="0.25"/>
    <row r="531" s="35" customFormat="1" x14ac:dyDescent="0.25"/>
    <row r="532" s="35" customFormat="1" x14ac:dyDescent="0.25"/>
    <row r="533" s="35" customFormat="1" x14ac:dyDescent="0.25"/>
    <row r="534" s="35" customFormat="1" x14ac:dyDescent="0.25"/>
    <row r="535" s="35" customFormat="1" x14ac:dyDescent="0.25"/>
    <row r="536" s="35" customFormat="1" x14ac:dyDescent="0.25"/>
    <row r="537" s="35" customFormat="1" x14ac:dyDescent="0.25"/>
    <row r="538" s="35" customFormat="1" x14ac:dyDescent="0.25"/>
    <row r="539" s="35" customFormat="1" x14ac:dyDescent="0.25"/>
    <row r="540" s="35" customFormat="1" x14ac:dyDescent="0.25"/>
    <row r="541" s="35" customFormat="1" x14ac:dyDescent="0.25"/>
    <row r="542" s="35" customFormat="1" x14ac:dyDescent="0.25"/>
    <row r="543" s="35" customFormat="1" x14ac:dyDescent="0.25"/>
    <row r="544" s="35" customFormat="1" x14ac:dyDescent="0.25"/>
    <row r="545" s="35" customFormat="1" x14ac:dyDescent="0.25"/>
    <row r="546" s="35" customFormat="1" x14ac:dyDescent="0.25"/>
    <row r="547" s="35" customFormat="1" x14ac:dyDescent="0.25"/>
    <row r="548" s="35" customFormat="1" x14ac:dyDescent="0.25"/>
    <row r="549" s="35" customFormat="1" x14ac:dyDescent="0.25"/>
    <row r="550" s="35" customFormat="1" x14ac:dyDescent="0.25"/>
    <row r="551" s="35" customFormat="1" x14ac:dyDescent="0.25"/>
    <row r="552" s="35" customFormat="1" x14ac:dyDescent="0.25"/>
    <row r="553" s="35" customFormat="1" x14ac:dyDescent="0.25"/>
    <row r="554" s="35" customFormat="1" x14ac:dyDescent="0.25"/>
    <row r="555" s="35" customFormat="1" x14ac:dyDescent="0.25"/>
    <row r="556" s="35" customFormat="1" x14ac:dyDescent="0.25"/>
    <row r="557" s="35" customFormat="1" x14ac:dyDescent="0.25"/>
    <row r="558" s="35" customFormat="1" x14ac:dyDescent="0.25"/>
    <row r="559" s="35" customFormat="1" x14ac:dyDescent="0.25"/>
    <row r="560" s="35" customFormat="1" x14ac:dyDescent="0.25"/>
    <row r="561" s="35" customFormat="1" x14ac:dyDescent="0.25"/>
    <row r="562" s="35" customFormat="1" x14ac:dyDescent="0.25"/>
    <row r="563" s="35" customFormat="1" x14ac:dyDescent="0.25"/>
    <row r="564" s="35" customFormat="1" x14ac:dyDescent="0.25"/>
    <row r="565" s="35" customFormat="1" x14ac:dyDescent="0.25"/>
    <row r="566" s="35" customFormat="1" x14ac:dyDescent="0.25"/>
    <row r="567" s="35" customFormat="1" x14ac:dyDescent="0.25"/>
    <row r="568" s="35" customFormat="1" x14ac:dyDescent="0.25"/>
    <row r="569" s="35" customFormat="1" x14ac:dyDescent="0.25"/>
    <row r="570" s="35" customFormat="1" x14ac:dyDescent="0.25"/>
    <row r="571" s="35" customFormat="1" x14ac:dyDescent="0.25"/>
    <row r="572" s="35" customFormat="1" x14ac:dyDescent="0.25"/>
    <row r="573" s="35" customFormat="1" x14ac:dyDescent="0.25"/>
    <row r="574" s="35" customFormat="1" x14ac:dyDescent="0.25"/>
    <row r="575" s="35" customFormat="1" x14ac:dyDescent="0.25"/>
    <row r="576" s="35" customFormat="1" x14ac:dyDescent="0.25"/>
    <row r="577" s="35" customFormat="1" x14ac:dyDescent="0.25"/>
    <row r="578" s="35" customFormat="1" x14ac:dyDescent="0.25"/>
    <row r="579" s="35" customFormat="1" x14ac:dyDescent="0.25"/>
    <row r="580" s="35" customFormat="1" x14ac:dyDescent="0.25"/>
    <row r="581" s="35" customFormat="1" x14ac:dyDescent="0.25"/>
    <row r="582" s="35" customFormat="1" x14ac:dyDescent="0.25"/>
    <row r="583" s="35" customFormat="1" x14ac:dyDescent="0.25"/>
    <row r="584" s="35" customFormat="1" x14ac:dyDescent="0.25"/>
    <row r="585" s="35" customFormat="1" x14ac:dyDescent="0.25"/>
    <row r="586" s="35" customFormat="1" x14ac:dyDescent="0.25"/>
    <row r="587" s="35" customFormat="1" x14ac:dyDescent="0.25"/>
    <row r="588" s="35" customFormat="1" x14ac:dyDescent="0.25"/>
    <row r="589" s="35" customFormat="1" x14ac:dyDescent="0.25"/>
    <row r="590" s="35" customFormat="1" x14ac:dyDescent="0.25"/>
    <row r="591" s="35" customFormat="1" x14ac:dyDescent="0.25"/>
    <row r="592" s="35" customFormat="1" x14ac:dyDescent="0.25"/>
    <row r="593" s="35" customFormat="1" x14ac:dyDescent="0.25"/>
    <row r="594" s="35" customFormat="1" x14ac:dyDescent="0.25"/>
    <row r="595" s="35" customFormat="1" x14ac:dyDescent="0.25"/>
    <row r="596" s="35" customFormat="1" x14ac:dyDescent="0.25"/>
    <row r="597" s="35" customFormat="1" x14ac:dyDescent="0.25"/>
    <row r="598" s="35" customFormat="1" x14ac:dyDescent="0.25"/>
    <row r="599" s="35" customFormat="1" x14ac:dyDescent="0.25"/>
    <row r="600" s="35" customFormat="1" x14ac:dyDescent="0.25"/>
    <row r="601" s="35" customFormat="1" x14ac:dyDescent="0.25"/>
    <row r="602" s="35" customFormat="1" x14ac:dyDescent="0.25"/>
    <row r="603" s="35" customFormat="1" x14ac:dyDescent="0.25"/>
    <row r="604" s="35" customFormat="1" x14ac:dyDescent="0.25"/>
    <row r="605" s="35" customFormat="1" x14ac:dyDescent="0.25"/>
    <row r="606" s="35" customFormat="1" x14ac:dyDescent="0.25"/>
    <row r="607" s="35" customFormat="1" x14ac:dyDescent="0.25"/>
    <row r="608" s="35" customFormat="1" x14ac:dyDescent="0.25"/>
    <row r="609" s="35" customFormat="1" x14ac:dyDescent="0.25"/>
    <row r="610" s="35" customFormat="1" x14ac:dyDescent="0.25"/>
    <row r="611" s="35" customFormat="1" x14ac:dyDescent="0.25"/>
    <row r="612" s="35" customFormat="1" x14ac:dyDescent="0.25"/>
    <row r="613" s="35" customFormat="1" x14ac:dyDescent="0.25"/>
    <row r="614" s="35" customFormat="1" x14ac:dyDescent="0.25"/>
    <row r="615" s="35" customFormat="1" x14ac:dyDescent="0.25"/>
    <row r="616" s="35" customFormat="1" x14ac:dyDescent="0.25"/>
    <row r="617" s="35" customFormat="1" x14ac:dyDescent="0.25"/>
    <row r="618" s="35" customFormat="1" x14ac:dyDescent="0.25"/>
    <row r="619" s="35" customFormat="1" x14ac:dyDescent="0.25"/>
    <row r="620" s="35" customFormat="1" x14ac:dyDescent="0.25"/>
    <row r="621" s="35" customFormat="1" x14ac:dyDescent="0.25"/>
    <row r="622" s="35" customFormat="1" x14ac:dyDescent="0.25"/>
    <row r="623" s="35" customFormat="1" x14ac:dyDescent="0.25"/>
    <row r="624" s="35" customFormat="1" x14ac:dyDescent="0.25"/>
    <row r="625" s="35" customFormat="1" x14ac:dyDescent="0.25"/>
    <row r="626" s="35" customFormat="1" x14ac:dyDescent="0.25"/>
    <row r="627" s="35" customFormat="1" x14ac:dyDescent="0.25"/>
    <row r="628" s="35" customFormat="1" x14ac:dyDescent="0.25"/>
    <row r="629" s="35" customFormat="1" x14ac:dyDescent="0.25"/>
    <row r="630" s="35" customFormat="1" x14ac:dyDescent="0.25"/>
    <row r="631" s="35" customFormat="1" x14ac:dyDescent="0.25"/>
    <row r="632" s="35" customFormat="1" x14ac:dyDescent="0.25"/>
    <row r="633" s="35" customFormat="1" x14ac:dyDescent="0.25"/>
    <row r="634" s="35" customFormat="1" x14ac:dyDescent="0.25"/>
    <row r="635" s="35" customFormat="1" x14ac:dyDescent="0.25"/>
    <row r="636" s="35" customFormat="1" x14ac:dyDescent="0.25"/>
    <row r="637" s="35" customFormat="1" x14ac:dyDescent="0.25"/>
    <row r="638" s="35" customFormat="1" x14ac:dyDescent="0.25"/>
    <row r="639" s="35" customFormat="1" x14ac:dyDescent="0.25"/>
    <row r="640" s="35" customFormat="1" x14ac:dyDescent="0.25"/>
    <row r="641" s="35" customFormat="1" x14ac:dyDescent="0.25"/>
    <row r="642" s="35" customFormat="1" x14ac:dyDescent="0.25"/>
    <row r="643" s="35" customFormat="1" x14ac:dyDescent="0.25"/>
    <row r="644" s="35" customFormat="1" x14ac:dyDescent="0.25"/>
    <row r="645" s="35" customFormat="1" x14ac:dyDescent="0.25"/>
    <row r="646" s="35" customFormat="1" x14ac:dyDescent="0.25"/>
    <row r="647" s="35" customFormat="1" x14ac:dyDescent="0.25"/>
    <row r="648" s="35" customFormat="1" x14ac:dyDescent="0.25"/>
    <row r="649" s="35" customFormat="1" x14ac:dyDescent="0.25"/>
    <row r="650" s="35" customFormat="1" x14ac:dyDescent="0.25"/>
    <row r="651" s="35" customFormat="1" x14ac:dyDescent="0.25"/>
    <row r="652" s="35" customFormat="1" x14ac:dyDescent="0.25"/>
    <row r="653" s="35" customFormat="1" x14ac:dyDescent="0.25"/>
    <row r="654" s="35" customFormat="1" x14ac:dyDescent="0.25"/>
    <row r="655" s="35" customFormat="1" x14ac:dyDescent="0.25"/>
    <row r="656" s="35" customFormat="1" x14ac:dyDescent="0.25"/>
    <row r="657" s="35" customFormat="1" x14ac:dyDescent="0.25"/>
    <row r="658" s="35" customFormat="1" x14ac:dyDescent="0.25"/>
    <row r="659" s="35" customFormat="1" x14ac:dyDescent="0.25"/>
    <row r="660" s="35" customFormat="1" x14ac:dyDescent="0.25"/>
    <row r="661" s="35" customFormat="1" x14ac:dyDescent="0.25"/>
    <row r="662" s="35" customFormat="1" x14ac:dyDescent="0.25"/>
    <row r="663" s="35" customFormat="1" x14ac:dyDescent="0.25"/>
    <row r="664" s="35" customFormat="1" x14ac:dyDescent="0.25"/>
    <row r="665" s="35" customFormat="1" x14ac:dyDescent="0.25"/>
    <row r="666" s="35" customFormat="1" x14ac:dyDescent="0.25"/>
    <row r="667" s="35" customFormat="1" x14ac:dyDescent="0.25"/>
    <row r="668" s="35" customFormat="1" x14ac:dyDescent="0.25"/>
    <row r="669" s="35" customFormat="1" x14ac:dyDescent="0.25"/>
    <row r="670" s="35" customFormat="1" x14ac:dyDescent="0.25"/>
    <row r="671" s="35" customFormat="1" x14ac:dyDescent="0.25"/>
    <row r="672" s="35" customFormat="1" x14ac:dyDescent="0.25"/>
    <row r="673" s="35" customFormat="1" x14ac:dyDescent="0.25"/>
    <row r="674" s="35" customFormat="1" x14ac:dyDescent="0.25"/>
    <row r="675" s="35" customFormat="1" x14ac:dyDescent="0.25"/>
    <row r="676" s="35" customFormat="1" x14ac:dyDescent="0.25"/>
    <row r="677" s="35" customFormat="1" x14ac:dyDescent="0.25"/>
    <row r="678" s="35" customFormat="1" x14ac:dyDescent="0.25"/>
    <row r="679" s="35" customFormat="1" x14ac:dyDescent="0.25"/>
    <row r="680" s="35" customFormat="1" x14ac:dyDescent="0.25"/>
    <row r="681" s="35" customFormat="1" x14ac:dyDescent="0.25"/>
    <row r="682" s="35" customFormat="1" x14ac:dyDescent="0.25"/>
    <row r="683" s="35" customFormat="1" x14ac:dyDescent="0.25"/>
    <row r="684" s="35" customFormat="1" x14ac:dyDescent="0.25"/>
    <row r="685" s="35" customFormat="1" x14ac:dyDescent="0.25"/>
    <row r="686" s="35" customFormat="1" x14ac:dyDescent="0.25"/>
    <row r="687" s="35" customFormat="1" x14ac:dyDescent="0.25"/>
    <row r="688" s="35" customFormat="1" x14ac:dyDescent="0.25"/>
    <row r="689" s="35" customFormat="1" x14ac:dyDescent="0.25"/>
    <row r="690" s="35" customFormat="1" x14ac:dyDescent="0.25"/>
    <row r="691" s="35" customFormat="1" x14ac:dyDescent="0.25"/>
    <row r="692" s="35" customFormat="1" x14ac:dyDescent="0.25"/>
    <row r="693" s="35" customFormat="1" x14ac:dyDescent="0.25"/>
    <row r="694" s="35" customFormat="1" x14ac:dyDescent="0.25"/>
    <row r="695" s="35" customFormat="1" x14ac:dyDescent="0.25"/>
    <row r="696" s="35" customFormat="1" x14ac:dyDescent="0.25"/>
    <row r="697" s="35" customFormat="1" x14ac:dyDescent="0.25"/>
    <row r="698" s="35" customFormat="1" x14ac:dyDescent="0.25"/>
    <row r="699" s="35" customFormat="1" x14ac:dyDescent="0.25"/>
    <row r="700" s="35" customFormat="1" x14ac:dyDescent="0.25"/>
    <row r="701" s="35" customFormat="1" x14ac:dyDescent="0.25"/>
    <row r="702" s="35" customFormat="1" x14ac:dyDescent="0.25"/>
    <row r="703" s="35" customFormat="1" x14ac:dyDescent="0.25"/>
    <row r="704" s="35" customFormat="1" x14ac:dyDescent="0.25"/>
    <row r="705" s="35" customFormat="1" x14ac:dyDescent="0.25"/>
    <row r="706" s="35" customFormat="1" x14ac:dyDescent="0.25"/>
    <row r="707" s="35" customFormat="1" x14ac:dyDescent="0.25"/>
    <row r="708" s="35" customFormat="1" x14ac:dyDescent="0.25"/>
    <row r="709" s="35" customFormat="1" x14ac:dyDescent="0.25"/>
    <row r="710" s="35" customFormat="1" x14ac:dyDescent="0.25"/>
    <row r="711" s="35" customFormat="1" x14ac:dyDescent="0.25"/>
    <row r="712" s="35" customFormat="1" x14ac:dyDescent="0.25"/>
    <row r="713" s="35" customFormat="1" x14ac:dyDescent="0.25"/>
    <row r="714" s="35" customFormat="1" x14ac:dyDescent="0.25"/>
    <row r="715" s="35" customFormat="1" x14ac:dyDescent="0.25"/>
    <row r="716" s="35" customFormat="1" x14ac:dyDescent="0.25"/>
    <row r="717" s="35" customFormat="1" x14ac:dyDescent="0.25"/>
    <row r="718" s="35" customFormat="1" x14ac:dyDescent="0.25"/>
    <row r="719" s="35" customFormat="1" x14ac:dyDescent="0.25"/>
    <row r="720" s="35" customFormat="1" x14ac:dyDescent="0.25"/>
    <row r="721" s="35" customFormat="1" x14ac:dyDescent="0.25"/>
    <row r="722" s="35" customFormat="1" x14ac:dyDescent="0.25"/>
    <row r="723" s="35" customFormat="1" x14ac:dyDescent="0.25"/>
    <row r="724" s="35" customFormat="1" x14ac:dyDescent="0.25"/>
    <row r="725" s="35" customFormat="1" x14ac:dyDescent="0.25"/>
    <row r="726" s="35" customFormat="1" x14ac:dyDescent="0.25"/>
    <row r="727" s="35" customFormat="1" x14ac:dyDescent="0.25"/>
    <row r="728" s="35" customFormat="1" x14ac:dyDescent="0.25"/>
    <row r="729" s="35" customFormat="1" x14ac:dyDescent="0.25"/>
    <row r="730" s="35" customFormat="1" x14ac:dyDescent="0.25"/>
    <row r="731" s="35" customFormat="1" x14ac:dyDescent="0.25"/>
    <row r="732" s="35" customFormat="1" x14ac:dyDescent="0.25"/>
    <row r="733" s="35" customFormat="1" x14ac:dyDescent="0.25"/>
    <row r="734" s="35" customFormat="1" x14ac:dyDescent="0.25"/>
    <row r="735" s="35" customFormat="1" x14ac:dyDescent="0.25"/>
    <row r="736" s="35" customFormat="1" x14ac:dyDescent="0.25"/>
    <row r="737" s="35" customFormat="1" x14ac:dyDescent="0.25"/>
    <row r="738" s="35" customFormat="1" x14ac:dyDescent="0.25"/>
    <row r="739" s="35" customFormat="1" x14ac:dyDescent="0.25"/>
    <row r="740" s="35" customFormat="1" x14ac:dyDescent="0.25"/>
    <row r="741" s="35" customFormat="1" x14ac:dyDescent="0.25"/>
    <row r="742" s="35" customFormat="1" x14ac:dyDescent="0.25"/>
    <row r="743" s="35" customFormat="1" x14ac:dyDescent="0.25"/>
    <row r="744" s="35" customFormat="1" x14ac:dyDescent="0.25"/>
    <row r="745" s="35" customFormat="1" x14ac:dyDescent="0.25"/>
    <row r="746" s="35" customFormat="1" x14ac:dyDescent="0.25"/>
    <row r="747" s="35" customFormat="1" x14ac:dyDescent="0.25"/>
    <row r="748" s="35" customFormat="1" x14ac:dyDescent="0.25"/>
    <row r="749" s="35" customFormat="1" x14ac:dyDescent="0.25"/>
    <row r="750" s="35" customFormat="1" x14ac:dyDescent="0.25"/>
    <row r="751" s="35" customFormat="1" x14ac:dyDescent="0.25"/>
    <row r="752" s="35" customFormat="1" x14ac:dyDescent="0.25"/>
    <row r="753" s="35" customFormat="1" x14ac:dyDescent="0.25"/>
    <row r="754" s="35" customFormat="1" x14ac:dyDescent="0.25"/>
    <row r="755" s="35" customFormat="1" x14ac:dyDescent="0.25"/>
    <row r="756" s="35" customFormat="1" x14ac:dyDescent="0.25"/>
    <row r="757" s="35" customFormat="1" x14ac:dyDescent="0.25"/>
    <row r="758" s="35" customFormat="1" x14ac:dyDescent="0.25"/>
    <row r="759" s="35" customFormat="1" x14ac:dyDescent="0.25"/>
    <row r="760" s="35" customFormat="1" x14ac:dyDescent="0.25"/>
    <row r="761" s="35" customFormat="1" x14ac:dyDescent="0.25"/>
    <row r="762" s="35" customFormat="1" x14ac:dyDescent="0.25"/>
    <row r="763" s="35" customFormat="1" x14ac:dyDescent="0.25"/>
    <row r="764" s="35" customFormat="1" x14ac:dyDescent="0.25"/>
    <row r="765" s="35" customFormat="1" x14ac:dyDescent="0.25"/>
    <row r="766" s="35" customFormat="1" x14ac:dyDescent="0.25"/>
    <row r="767" s="35" customFormat="1" x14ac:dyDescent="0.25"/>
    <row r="768" s="35" customFormat="1" x14ac:dyDescent="0.25"/>
    <row r="769" s="35" customFormat="1" x14ac:dyDescent="0.25"/>
    <row r="770" s="35" customFormat="1" x14ac:dyDescent="0.25"/>
    <row r="771" s="35" customFormat="1" x14ac:dyDescent="0.25"/>
    <row r="772" s="35" customFormat="1" x14ac:dyDescent="0.25"/>
    <row r="773" s="35" customFormat="1" x14ac:dyDescent="0.25"/>
    <row r="774" s="35" customFormat="1" x14ac:dyDescent="0.25"/>
    <row r="775" s="35" customFormat="1" x14ac:dyDescent="0.25"/>
    <row r="776" s="35" customFormat="1" x14ac:dyDescent="0.25"/>
    <row r="777" s="35" customFormat="1" x14ac:dyDescent="0.25"/>
    <row r="778" s="35" customFormat="1" x14ac:dyDescent="0.25"/>
    <row r="779" s="35" customFormat="1" x14ac:dyDescent="0.25"/>
    <row r="780" s="35" customFormat="1" x14ac:dyDescent="0.25"/>
    <row r="781" s="35" customFormat="1" x14ac:dyDescent="0.25"/>
    <row r="782" s="35" customFormat="1" x14ac:dyDescent="0.25"/>
    <row r="783" s="35" customFormat="1" x14ac:dyDescent="0.25"/>
    <row r="784" s="35" customFormat="1" x14ac:dyDescent="0.25"/>
    <row r="785" s="35" customFormat="1" x14ac:dyDescent="0.25"/>
    <row r="786" s="35" customFormat="1" x14ac:dyDescent="0.25"/>
    <row r="787" s="35" customFormat="1" x14ac:dyDescent="0.25"/>
    <row r="788" s="35" customFormat="1" x14ac:dyDescent="0.25"/>
    <row r="789" s="35" customFormat="1" x14ac:dyDescent="0.25"/>
    <row r="790" s="35" customFormat="1" x14ac:dyDescent="0.25"/>
    <row r="791" s="35" customFormat="1" x14ac:dyDescent="0.25"/>
    <row r="792" s="35" customFormat="1" x14ac:dyDescent="0.25"/>
    <row r="793" s="35" customFormat="1" x14ac:dyDescent="0.25"/>
    <row r="794" s="35" customFormat="1" x14ac:dyDescent="0.25"/>
    <row r="795" s="35" customFormat="1" x14ac:dyDescent="0.25"/>
    <row r="796" s="35" customFormat="1" x14ac:dyDescent="0.25"/>
    <row r="797" s="35" customFormat="1" x14ac:dyDescent="0.25"/>
    <row r="798" s="35" customFormat="1" x14ac:dyDescent="0.25"/>
    <row r="799" s="35" customFormat="1" x14ac:dyDescent="0.25"/>
    <row r="800" s="35" customFormat="1" x14ac:dyDescent="0.25"/>
    <row r="801" s="35" customFormat="1" x14ac:dyDescent="0.25"/>
    <row r="802" s="35" customFormat="1" x14ac:dyDescent="0.25"/>
    <row r="803" s="35" customFormat="1" x14ac:dyDescent="0.25"/>
    <row r="804" s="35" customFormat="1" x14ac:dyDescent="0.25"/>
    <row r="805" s="35" customFormat="1" x14ac:dyDescent="0.25"/>
    <row r="806" s="35" customFormat="1" x14ac:dyDescent="0.25"/>
    <row r="807" s="35" customFormat="1" x14ac:dyDescent="0.25"/>
    <row r="808" s="35" customFormat="1" x14ac:dyDescent="0.25"/>
    <row r="809" s="35" customFormat="1" x14ac:dyDescent="0.25"/>
    <row r="810" s="35" customFormat="1" x14ac:dyDescent="0.25"/>
    <row r="811" s="35" customFormat="1" x14ac:dyDescent="0.25"/>
    <row r="812" s="35" customFormat="1" x14ac:dyDescent="0.25"/>
    <row r="813" s="35" customFormat="1" x14ac:dyDescent="0.25"/>
    <row r="814" s="35" customFormat="1" x14ac:dyDescent="0.25"/>
    <row r="815" s="35" customFormat="1" x14ac:dyDescent="0.25"/>
    <row r="816" s="35" customFormat="1" x14ac:dyDescent="0.25"/>
    <row r="817" s="35" customFormat="1" x14ac:dyDescent="0.25"/>
    <row r="818" s="35" customFormat="1" x14ac:dyDescent="0.25"/>
    <row r="819" s="35" customFormat="1" x14ac:dyDescent="0.25"/>
    <row r="820" s="35" customFormat="1" x14ac:dyDescent="0.25"/>
    <row r="821" s="35" customFormat="1" x14ac:dyDescent="0.25"/>
    <row r="822" s="35" customFormat="1" x14ac:dyDescent="0.25"/>
    <row r="823" s="35" customFormat="1" x14ac:dyDescent="0.25"/>
    <row r="824" s="35" customFormat="1" x14ac:dyDescent="0.25"/>
    <row r="825" s="35" customFormat="1" x14ac:dyDescent="0.25"/>
    <row r="826" s="35" customFormat="1" x14ac:dyDescent="0.25"/>
    <row r="827" s="35" customFormat="1" x14ac:dyDescent="0.25"/>
    <row r="828" s="35" customFormat="1" x14ac:dyDescent="0.25"/>
    <row r="829" s="35" customFormat="1" x14ac:dyDescent="0.25"/>
    <row r="830" s="35" customFormat="1" x14ac:dyDescent="0.25"/>
    <row r="831" s="35" customFormat="1" x14ac:dyDescent="0.25"/>
    <row r="832" s="35" customFormat="1" x14ac:dyDescent="0.25"/>
    <row r="833" s="35" customFormat="1" x14ac:dyDescent="0.25"/>
    <row r="834" s="35" customFormat="1" x14ac:dyDescent="0.25"/>
    <row r="835" s="35" customFormat="1" x14ac:dyDescent="0.25"/>
    <row r="836" s="35" customFormat="1" x14ac:dyDescent="0.25"/>
    <row r="837" s="35" customFormat="1" x14ac:dyDescent="0.25"/>
    <row r="838" s="35" customFormat="1" x14ac:dyDescent="0.25"/>
    <row r="839" s="35" customFormat="1" x14ac:dyDescent="0.25"/>
    <row r="840" s="35" customFormat="1" x14ac:dyDescent="0.25"/>
    <row r="841" s="35" customFormat="1" x14ac:dyDescent="0.25"/>
    <row r="842" s="35" customFormat="1" x14ac:dyDescent="0.25"/>
    <row r="843" s="35" customFormat="1" x14ac:dyDescent="0.25"/>
    <row r="844" s="35" customFormat="1" x14ac:dyDescent="0.25"/>
    <row r="845" s="35" customFormat="1" x14ac:dyDescent="0.25"/>
    <row r="846" s="35" customFormat="1" x14ac:dyDescent="0.25"/>
    <row r="847" s="35" customFormat="1" x14ac:dyDescent="0.25"/>
    <row r="848" s="35" customFormat="1" x14ac:dyDescent="0.25"/>
    <row r="849" s="35" customFormat="1" x14ac:dyDescent="0.25"/>
    <row r="850" s="35" customFormat="1" x14ac:dyDescent="0.25"/>
    <row r="851" s="35" customFormat="1" x14ac:dyDescent="0.25"/>
    <row r="852" s="35" customFormat="1" x14ac:dyDescent="0.25"/>
    <row r="853" s="35" customFormat="1" x14ac:dyDescent="0.25"/>
    <row r="854" s="35" customFormat="1" x14ac:dyDescent="0.25"/>
    <row r="855" s="35" customFormat="1" x14ac:dyDescent="0.25"/>
    <row r="856" s="35" customFormat="1" x14ac:dyDescent="0.25"/>
    <row r="857" s="35" customFormat="1" x14ac:dyDescent="0.25"/>
    <row r="858" s="35" customFormat="1" x14ac:dyDescent="0.25"/>
    <row r="859" s="35" customFormat="1" x14ac:dyDescent="0.25"/>
    <row r="860" s="35" customFormat="1" x14ac:dyDescent="0.25"/>
    <row r="861" s="35" customFormat="1" x14ac:dyDescent="0.25"/>
    <row r="862" s="35" customFormat="1" x14ac:dyDescent="0.25"/>
    <row r="863" s="35" customFormat="1" x14ac:dyDescent="0.25"/>
    <row r="864" s="35" customFormat="1" x14ac:dyDescent="0.25"/>
    <row r="865" s="35" customFormat="1" x14ac:dyDescent="0.25"/>
    <row r="866" s="35" customFormat="1" x14ac:dyDescent="0.25"/>
    <row r="867" s="35" customFormat="1" x14ac:dyDescent="0.25"/>
    <row r="868" s="35" customFormat="1" x14ac:dyDescent="0.25"/>
    <row r="869" s="35" customFormat="1" x14ac:dyDescent="0.25"/>
    <row r="870" s="35" customFormat="1" x14ac:dyDescent="0.25"/>
    <row r="871" s="35" customFormat="1" x14ac:dyDescent="0.25"/>
    <row r="872" s="35" customFormat="1" x14ac:dyDescent="0.25"/>
    <row r="873" s="35" customFormat="1" x14ac:dyDescent="0.25"/>
    <row r="874" s="35" customFormat="1" x14ac:dyDescent="0.25"/>
    <row r="875" s="35" customFormat="1" x14ac:dyDescent="0.25"/>
    <row r="876" s="35" customFormat="1" x14ac:dyDescent="0.25"/>
    <row r="877" s="35" customFormat="1" x14ac:dyDescent="0.25"/>
    <row r="878" s="35" customFormat="1" x14ac:dyDescent="0.25"/>
    <row r="879" s="35" customFormat="1" x14ac:dyDescent="0.25"/>
    <row r="880" s="35" customFormat="1" x14ac:dyDescent="0.25"/>
    <row r="881" s="35" customFormat="1" x14ac:dyDescent="0.25"/>
    <row r="882" s="35" customFormat="1" x14ac:dyDescent="0.25"/>
    <row r="883" s="35" customFormat="1" x14ac:dyDescent="0.25"/>
    <row r="884" s="35" customFormat="1" x14ac:dyDescent="0.25"/>
    <row r="885" s="35" customFormat="1" x14ac:dyDescent="0.25"/>
    <row r="886" s="35" customFormat="1" x14ac:dyDescent="0.25"/>
    <row r="887" s="35" customFormat="1" x14ac:dyDescent="0.25"/>
    <row r="888" s="35" customFormat="1" x14ac:dyDescent="0.25"/>
    <row r="889" s="35" customFormat="1" x14ac:dyDescent="0.25"/>
    <row r="890" s="35" customFormat="1" x14ac:dyDescent="0.25"/>
    <row r="891" s="35" customFormat="1" x14ac:dyDescent="0.25"/>
    <row r="892" s="35" customFormat="1" x14ac:dyDescent="0.25"/>
    <row r="893" s="35" customFormat="1" x14ac:dyDescent="0.25"/>
    <row r="894" s="35" customFormat="1" x14ac:dyDescent="0.25"/>
    <row r="895" s="35" customFormat="1" x14ac:dyDescent="0.25"/>
    <row r="896" s="35" customFormat="1" x14ac:dyDescent="0.25"/>
    <row r="897" s="35" customFormat="1" x14ac:dyDescent="0.25"/>
    <row r="898" s="35" customFormat="1" x14ac:dyDescent="0.25"/>
    <row r="899" s="35" customFormat="1" x14ac:dyDescent="0.25"/>
    <row r="900" s="35" customFormat="1" x14ac:dyDescent="0.25"/>
    <row r="901" s="35" customFormat="1" x14ac:dyDescent="0.25"/>
    <row r="902" s="35" customFormat="1" x14ac:dyDescent="0.25"/>
    <row r="903" s="35" customFormat="1" x14ac:dyDescent="0.25"/>
    <row r="904" s="35" customFormat="1" x14ac:dyDescent="0.25"/>
    <row r="905" s="35" customFormat="1" x14ac:dyDescent="0.25"/>
    <row r="906" s="35" customFormat="1" x14ac:dyDescent="0.25"/>
    <row r="907" s="35" customFormat="1" x14ac:dyDescent="0.25"/>
    <row r="908" s="35" customFormat="1" x14ac:dyDescent="0.25"/>
    <row r="909" s="35" customFormat="1" x14ac:dyDescent="0.25"/>
    <row r="910" s="35" customFormat="1" x14ac:dyDescent="0.25"/>
    <row r="911" s="35" customFormat="1" x14ac:dyDescent="0.25"/>
    <row r="912" s="35" customFormat="1" x14ac:dyDescent="0.25"/>
    <row r="913" s="35" customFormat="1" x14ac:dyDescent="0.25"/>
    <row r="914" s="35" customFormat="1" x14ac:dyDescent="0.25"/>
    <row r="915" s="35" customFormat="1" x14ac:dyDescent="0.25"/>
    <row r="916" s="35" customFormat="1" x14ac:dyDescent="0.25"/>
    <row r="917" s="35" customFormat="1" x14ac:dyDescent="0.25"/>
    <row r="918" s="35" customFormat="1" x14ac:dyDescent="0.25"/>
    <row r="919" s="35" customFormat="1" x14ac:dyDescent="0.25"/>
    <row r="920" s="35" customFormat="1" x14ac:dyDescent="0.25"/>
    <row r="921" s="35" customFormat="1" x14ac:dyDescent="0.25"/>
    <row r="922" s="35" customFormat="1" x14ac:dyDescent="0.25"/>
    <row r="923" s="35" customFormat="1" x14ac:dyDescent="0.25"/>
    <row r="924" s="35" customFormat="1" x14ac:dyDescent="0.25"/>
    <row r="925" s="35" customFormat="1" x14ac:dyDescent="0.25"/>
    <row r="926" s="35" customFormat="1" x14ac:dyDescent="0.25"/>
    <row r="927" s="35" customFormat="1" x14ac:dyDescent="0.25"/>
    <row r="928" s="35" customFormat="1" x14ac:dyDescent="0.25"/>
    <row r="929" s="35" customFormat="1" x14ac:dyDescent="0.25"/>
    <row r="930" s="35" customFormat="1" x14ac:dyDescent="0.25"/>
    <row r="931" s="35" customFormat="1" x14ac:dyDescent="0.25"/>
    <row r="932" s="35" customFormat="1" x14ac:dyDescent="0.25"/>
    <row r="933" s="35" customFormat="1" x14ac:dyDescent="0.25"/>
    <row r="934" s="35" customFormat="1" x14ac:dyDescent="0.25"/>
    <row r="935" s="35" customFormat="1" x14ac:dyDescent="0.25"/>
    <row r="936" s="35" customFormat="1" x14ac:dyDescent="0.25"/>
    <row r="937" s="35" customFormat="1" x14ac:dyDescent="0.25"/>
    <row r="938" s="35" customFormat="1" x14ac:dyDescent="0.25"/>
    <row r="939" s="35" customFormat="1" x14ac:dyDescent="0.25"/>
    <row r="940" s="35" customFormat="1" x14ac:dyDescent="0.25"/>
    <row r="941" s="35" customFormat="1" x14ac:dyDescent="0.25"/>
    <row r="942" s="35" customFormat="1" x14ac:dyDescent="0.25"/>
    <row r="943" s="35" customFormat="1" x14ac:dyDescent="0.25"/>
    <row r="944" s="35" customFormat="1" x14ac:dyDescent="0.25"/>
    <row r="945" s="35" customFormat="1" x14ac:dyDescent="0.25"/>
    <row r="946" s="35" customFormat="1" x14ac:dyDescent="0.25"/>
    <row r="947" s="35" customFormat="1" x14ac:dyDescent="0.25"/>
    <row r="948" s="35" customFormat="1" x14ac:dyDescent="0.25"/>
    <row r="949" s="35" customFormat="1" x14ac:dyDescent="0.25"/>
    <row r="950" s="35" customFormat="1" x14ac:dyDescent="0.25"/>
    <row r="951" s="35" customFormat="1" x14ac:dyDescent="0.25"/>
    <row r="952" s="35" customFormat="1" x14ac:dyDescent="0.25"/>
    <row r="953" s="35" customFormat="1" x14ac:dyDescent="0.25"/>
    <row r="954" s="35" customFormat="1" x14ac:dyDescent="0.25"/>
    <row r="955" s="35" customFormat="1" x14ac:dyDescent="0.25"/>
    <row r="956" s="35" customFormat="1" x14ac:dyDescent="0.25"/>
    <row r="957" s="35" customFormat="1" x14ac:dyDescent="0.25"/>
    <row r="958" s="35" customFormat="1" x14ac:dyDescent="0.25"/>
    <row r="959" s="35" customFormat="1" x14ac:dyDescent="0.25"/>
    <row r="960" s="35" customFormat="1" x14ac:dyDescent="0.25"/>
    <row r="961" s="35" customFormat="1" x14ac:dyDescent="0.25"/>
    <row r="962" s="35" customFormat="1" x14ac:dyDescent="0.25"/>
    <row r="963" s="35" customFormat="1" x14ac:dyDescent="0.25"/>
    <row r="964" s="35" customFormat="1" x14ac:dyDescent="0.25"/>
    <row r="965" s="35" customFormat="1" x14ac:dyDescent="0.25"/>
    <row r="966" s="35" customFormat="1" x14ac:dyDescent="0.25"/>
    <row r="967" s="35" customFormat="1" x14ac:dyDescent="0.25"/>
    <row r="968" s="35" customFormat="1" x14ac:dyDescent="0.25"/>
    <row r="969" s="35" customFormat="1" x14ac:dyDescent="0.25"/>
    <row r="970" s="35" customFormat="1" x14ac:dyDescent="0.25"/>
    <row r="971" s="35" customFormat="1" x14ac:dyDescent="0.25"/>
    <row r="972" s="35" customFormat="1" x14ac:dyDescent="0.25"/>
    <row r="973" s="35" customFormat="1" x14ac:dyDescent="0.25"/>
    <row r="974" s="35" customFormat="1" x14ac:dyDescent="0.25"/>
  </sheetData>
  <sheetProtection algorithmName="SHA-512" hashValue="8F8MP8JoAW2XODED3PkrQWath0+w4/XYA59PtOOvWz933J6Z4U857/d3Zjd0VENZhXCPoRXW+bKbqTMYdz28uw==" saltValue="ZoVvHmqaMvnVWaxIndvvAA==" spinCount="100000" sheet="1" objects="1" scenarios="1" formatCells="0" insertColumns="0" insertRows="0" deleteColumns="0" deleteRows="0"/>
  <mergeCells count="4">
    <mergeCell ref="B4:B5"/>
    <mergeCell ref="C6:D6"/>
    <mergeCell ref="B2:F2"/>
    <mergeCell ref="C8:F9"/>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F73F3-EB65-4AA4-A8A5-443388994D97}">
  <dimension ref="B2:F85"/>
  <sheetViews>
    <sheetView zoomScaleNormal="100" workbookViewId="0">
      <selection activeCell="B2" sqref="B2:F2"/>
    </sheetView>
  </sheetViews>
  <sheetFormatPr defaultColWidth="8.85546875" defaultRowHeight="15" customHeight="1" x14ac:dyDescent="0.25"/>
  <cols>
    <col min="1" max="1" width="3.7109375" style="4" customWidth="1"/>
    <col min="2" max="2" width="25.7109375" style="4" customWidth="1"/>
    <col min="3" max="6" width="20.7109375" style="4" customWidth="1"/>
    <col min="7" max="16384" width="8.85546875" style="4"/>
  </cols>
  <sheetData>
    <row r="2" spans="2:6" ht="15" customHeight="1" x14ac:dyDescent="0.25">
      <c r="B2" s="253" t="s">
        <v>155</v>
      </c>
      <c r="C2" s="253"/>
      <c r="D2" s="253"/>
      <c r="E2" s="253"/>
      <c r="F2" s="253"/>
    </row>
    <row r="3" spans="2:6" ht="15" customHeight="1" x14ac:dyDescent="0.25">
      <c r="B3" s="237" t="s">
        <v>4</v>
      </c>
      <c r="C3" s="237"/>
      <c r="D3" s="237"/>
      <c r="E3" s="237"/>
      <c r="F3" s="237"/>
    </row>
    <row r="4" spans="2:6" ht="15" customHeight="1" x14ac:dyDescent="0.25">
      <c r="B4" s="245" t="s">
        <v>72</v>
      </c>
      <c r="C4" s="244" t="s">
        <v>66</v>
      </c>
      <c r="D4" s="244"/>
      <c r="E4" s="244"/>
      <c r="F4" s="244"/>
    </row>
    <row r="5" spans="2:6" ht="15" customHeight="1" x14ac:dyDescent="0.25">
      <c r="B5" s="245"/>
      <c r="C5" s="244"/>
      <c r="D5" s="244"/>
      <c r="E5" s="244"/>
      <c r="F5" s="244"/>
    </row>
    <row r="6" spans="2:6" ht="15" customHeight="1" x14ac:dyDescent="0.25">
      <c r="B6" s="245"/>
      <c r="C6" s="244"/>
      <c r="D6" s="244"/>
      <c r="E6" s="244"/>
      <c r="F6" s="244"/>
    </row>
    <row r="7" spans="2:6" ht="15" customHeight="1" x14ac:dyDescent="0.25">
      <c r="B7" s="245"/>
      <c r="C7" s="244"/>
      <c r="D7" s="244"/>
      <c r="E7" s="244"/>
      <c r="F7" s="244"/>
    </row>
    <row r="8" spans="2:6" ht="15" customHeight="1" x14ac:dyDescent="0.25">
      <c r="B8" s="237" t="s">
        <v>65</v>
      </c>
      <c r="C8" s="237"/>
      <c r="D8" s="237"/>
      <c r="E8" s="237"/>
      <c r="F8" s="237"/>
    </row>
    <row r="9" spans="2:6" ht="15" customHeight="1" x14ac:dyDescent="0.25">
      <c r="B9" s="245" t="s">
        <v>8</v>
      </c>
      <c r="C9" s="244" t="s">
        <v>294</v>
      </c>
      <c r="D9" s="244"/>
      <c r="E9" s="244"/>
      <c r="F9" s="244"/>
    </row>
    <row r="10" spans="2:6" ht="15" customHeight="1" x14ac:dyDescent="0.25">
      <c r="B10" s="245"/>
      <c r="C10" s="244"/>
      <c r="D10" s="244"/>
      <c r="E10" s="244"/>
      <c r="F10" s="244"/>
    </row>
    <row r="11" spans="2:6" ht="15" customHeight="1" x14ac:dyDescent="0.25">
      <c r="B11" s="245" t="s">
        <v>7</v>
      </c>
      <c r="C11" s="244" t="s">
        <v>293</v>
      </c>
      <c r="D11" s="244"/>
      <c r="E11" s="244"/>
      <c r="F11" s="244"/>
    </row>
    <row r="12" spans="2:6" ht="15" customHeight="1" x14ac:dyDescent="0.25">
      <c r="B12" s="245"/>
      <c r="C12" s="244"/>
      <c r="D12" s="244"/>
      <c r="E12" s="244"/>
      <c r="F12" s="244"/>
    </row>
    <row r="13" spans="2:6" ht="15" customHeight="1" x14ac:dyDescent="0.25">
      <c r="B13" s="237" t="s">
        <v>5</v>
      </c>
      <c r="C13" s="237"/>
      <c r="D13" s="237"/>
      <c r="E13" s="237"/>
      <c r="F13" s="237"/>
    </row>
    <row r="14" spans="2:6" ht="15" customHeight="1" x14ac:dyDescent="0.25">
      <c r="B14" s="245" t="s">
        <v>72</v>
      </c>
      <c r="C14" s="244" t="s">
        <v>64</v>
      </c>
      <c r="D14" s="244"/>
      <c r="E14" s="244"/>
      <c r="F14" s="244"/>
    </row>
    <row r="15" spans="2:6" ht="15" customHeight="1" x14ac:dyDescent="0.25">
      <c r="B15" s="245"/>
      <c r="C15" s="244"/>
      <c r="D15" s="244"/>
      <c r="E15" s="244"/>
      <c r="F15" s="244"/>
    </row>
    <row r="16" spans="2:6" ht="15" customHeight="1" x14ac:dyDescent="0.25">
      <c r="B16" s="245"/>
      <c r="C16" s="244"/>
      <c r="D16" s="244"/>
      <c r="E16" s="244"/>
      <c r="F16" s="244"/>
    </row>
    <row r="17" spans="2:6" ht="15" customHeight="1" x14ac:dyDescent="0.25">
      <c r="B17" s="237" t="s">
        <v>63</v>
      </c>
      <c r="C17" s="237"/>
      <c r="D17" s="237"/>
      <c r="E17" s="237"/>
      <c r="F17" s="237"/>
    </row>
    <row r="18" spans="2:6" ht="15" customHeight="1" x14ac:dyDescent="0.25">
      <c r="B18" s="245" t="s">
        <v>8</v>
      </c>
      <c r="C18" s="244" t="s">
        <v>62</v>
      </c>
      <c r="D18" s="244"/>
      <c r="E18" s="244"/>
      <c r="F18" s="244"/>
    </row>
    <row r="19" spans="2:6" ht="15" customHeight="1" x14ac:dyDescent="0.25">
      <c r="B19" s="245"/>
      <c r="C19" s="244"/>
      <c r="D19" s="244"/>
      <c r="E19" s="244"/>
      <c r="F19" s="244"/>
    </row>
    <row r="20" spans="2:6" ht="15" customHeight="1" x14ac:dyDescent="0.25">
      <c r="B20" s="245" t="s">
        <v>7</v>
      </c>
      <c r="C20" s="244" t="s">
        <v>61</v>
      </c>
      <c r="D20" s="244"/>
      <c r="E20" s="244"/>
      <c r="F20" s="244"/>
    </row>
    <row r="21" spans="2:6" ht="15" customHeight="1" x14ac:dyDescent="0.25">
      <c r="B21" s="245"/>
      <c r="C21" s="244"/>
      <c r="D21" s="244"/>
      <c r="E21" s="244"/>
      <c r="F21" s="244"/>
    </row>
    <row r="22" spans="2:6" ht="15" customHeight="1" x14ac:dyDescent="0.25">
      <c r="B22" s="237" t="s">
        <v>9</v>
      </c>
      <c r="C22" s="237"/>
      <c r="D22" s="237"/>
      <c r="E22" s="237"/>
      <c r="F22" s="237"/>
    </row>
    <row r="23" spans="2:6" ht="15" customHeight="1" x14ac:dyDescent="0.25">
      <c r="B23" s="245" t="s">
        <v>72</v>
      </c>
      <c r="C23" s="244" t="s">
        <v>60</v>
      </c>
      <c r="D23" s="244"/>
      <c r="E23" s="244"/>
      <c r="F23" s="244"/>
    </row>
    <row r="24" spans="2:6" ht="15" customHeight="1" x14ac:dyDescent="0.25">
      <c r="B24" s="245"/>
      <c r="C24" s="244"/>
      <c r="D24" s="244"/>
      <c r="E24" s="244"/>
      <c r="F24" s="244"/>
    </row>
    <row r="25" spans="2:6" ht="15" customHeight="1" x14ac:dyDescent="0.25">
      <c r="B25" s="245"/>
      <c r="C25" s="244"/>
      <c r="D25" s="244"/>
      <c r="E25" s="244"/>
      <c r="F25" s="244"/>
    </row>
    <row r="26" spans="2:6" ht="15" customHeight="1" x14ac:dyDescent="0.25">
      <c r="B26" s="245"/>
      <c r="C26" s="244"/>
      <c r="D26" s="244"/>
      <c r="E26" s="244"/>
      <c r="F26" s="244"/>
    </row>
    <row r="27" spans="2:6" ht="15" customHeight="1" x14ac:dyDescent="0.25">
      <c r="B27" s="237" t="s">
        <v>59</v>
      </c>
      <c r="C27" s="237"/>
      <c r="D27" s="237"/>
      <c r="E27" s="237"/>
      <c r="F27" s="237"/>
    </row>
    <row r="28" spans="2:6" x14ac:dyDescent="0.25">
      <c r="B28" s="8" t="s">
        <v>58</v>
      </c>
      <c r="C28" s="248" t="s">
        <v>67</v>
      </c>
      <c r="D28" s="248"/>
      <c r="E28" s="248"/>
      <c r="F28" s="248"/>
    </row>
    <row r="29" spans="2:6" ht="15" customHeight="1" x14ac:dyDescent="0.25">
      <c r="B29" s="8" t="s">
        <v>19</v>
      </c>
      <c r="C29" s="248" t="s">
        <v>68</v>
      </c>
      <c r="D29" s="248"/>
      <c r="E29" s="248"/>
      <c r="F29" s="248"/>
    </row>
    <row r="30" spans="2:6" ht="15" customHeight="1" x14ac:dyDescent="0.25">
      <c r="B30" s="8" t="s">
        <v>57</v>
      </c>
      <c r="C30" s="248" t="s">
        <v>69</v>
      </c>
      <c r="D30" s="248"/>
      <c r="E30" s="248"/>
      <c r="F30" s="248"/>
    </row>
    <row r="31" spans="2:6" ht="15" customHeight="1" x14ac:dyDescent="0.25">
      <c r="B31" s="237" t="s">
        <v>0</v>
      </c>
      <c r="C31" s="237"/>
      <c r="D31" s="237"/>
      <c r="E31" s="237"/>
      <c r="F31" s="237"/>
    </row>
    <row r="32" spans="2:6" ht="15" customHeight="1" x14ac:dyDescent="0.25">
      <c r="B32" s="246" t="s">
        <v>72</v>
      </c>
      <c r="C32" s="244" t="s">
        <v>56</v>
      </c>
      <c r="D32" s="244"/>
      <c r="E32" s="244"/>
      <c r="F32" s="244"/>
    </row>
    <row r="33" spans="2:6" ht="15" customHeight="1" x14ac:dyDescent="0.25">
      <c r="B33" s="247"/>
      <c r="C33" s="244"/>
      <c r="D33" s="244"/>
      <c r="E33" s="244"/>
      <c r="F33" s="244"/>
    </row>
    <row r="34" spans="2:6" ht="15" customHeight="1" x14ac:dyDescent="0.25">
      <c r="B34" s="237" t="s">
        <v>55</v>
      </c>
      <c r="C34" s="237"/>
      <c r="D34" s="237"/>
      <c r="E34" s="237"/>
      <c r="F34" s="237"/>
    </row>
    <row r="35" spans="2:6" ht="15" customHeight="1" x14ac:dyDescent="0.25">
      <c r="B35" s="245" t="s">
        <v>54</v>
      </c>
      <c r="C35" s="244" t="s">
        <v>53</v>
      </c>
      <c r="D35" s="244"/>
      <c r="E35" s="244"/>
      <c r="F35" s="244"/>
    </row>
    <row r="36" spans="2:6" ht="15" customHeight="1" x14ac:dyDescent="0.25">
      <c r="B36" s="245"/>
      <c r="C36" s="244"/>
      <c r="D36" s="244"/>
      <c r="E36" s="244"/>
      <c r="F36" s="244"/>
    </row>
    <row r="37" spans="2:6" ht="15" customHeight="1" x14ac:dyDescent="0.25">
      <c r="B37" s="245" t="s">
        <v>71</v>
      </c>
      <c r="C37" s="244" t="s">
        <v>52</v>
      </c>
      <c r="D37" s="244"/>
      <c r="E37" s="244"/>
      <c r="F37" s="244"/>
    </row>
    <row r="38" spans="2:6" ht="15" customHeight="1" x14ac:dyDescent="0.25">
      <c r="B38" s="245"/>
      <c r="C38" s="244"/>
      <c r="D38" s="244"/>
      <c r="E38" s="244"/>
      <c r="F38" s="244"/>
    </row>
    <row r="39" spans="2:6" ht="15" customHeight="1" x14ac:dyDescent="0.25">
      <c r="B39" s="237" t="s">
        <v>11</v>
      </c>
      <c r="C39" s="237"/>
      <c r="D39" s="237"/>
      <c r="E39" s="237"/>
      <c r="F39" s="237"/>
    </row>
    <row r="40" spans="2:6" ht="15" customHeight="1" x14ac:dyDescent="0.25">
      <c r="B40" s="246" t="s">
        <v>72</v>
      </c>
      <c r="C40" s="244" t="s">
        <v>51</v>
      </c>
      <c r="D40" s="244"/>
      <c r="E40" s="244"/>
      <c r="F40" s="244"/>
    </row>
    <row r="41" spans="2:6" ht="15" customHeight="1" x14ac:dyDescent="0.25">
      <c r="B41" s="252"/>
      <c r="C41" s="244"/>
      <c r="D41" s="244"/>
      <c r="E41" s="244"/>
      <c r="F41" s="244"/>
    </row>
    <row r="42" spans="2:6" ht="15" customHeight="1" x14ac:dyDescent="0.25">
      <c r="B42" s="252"/>
      <c r="C42" s="244"/>
      <c r="D42" s="244"/>
      <c r="E42" s="244"/>
      <c r="F42" s="244"/>
    </row>
    <row r="43" spans="2:6" ht="15" customHeight="1" x14ac:dyDescent="0.25">
      <c r="B43" s="247"/>
      <c r="C43" s="244"/>
      <c r="D43" s="244"/>
      <c r="E43" s="244"/>
      <c r="F43" s="244"/>
    </row>
    <row r="44" spans="2:6" ht="15" customHeight="1" x14ac:dyDescent="0.25">
      <c r="B44" s="237" t="s">
        <v>50</v>
      </c>
      <c r="C44" s="237"/>
      <c r="D44" s="237"/>
      <c r="E44" s="237"/>
      <c r="F44" s="237"/>
    </row>
    <row r="45" spans="2:6" ht="15" customHeight="1" x14ac:dyDescent="0.25">
      <c r="B45" s="246" t="s">
        <v>49</v>
      </c>
      <c r="C45" s="244" t="s">
        <v>48</v>
      </c>
      <c r="D45" s="244"/>
      <c r="E45" s="244"/>
      <c r="F45" s="244"/>
    </row>
    <row r="46" spans="2:6" ht="15" customHeight="1" x14ac:dyDescent="0.25">
      <c r="B46" s="247"/>
      <c r="C46" s="244"/>
      <c r="D46" s="244"/>
      <c r="E46" s="244"/>
      <c r="F46" s="244"/>
    </row>
    <row r="47" spans="2:6" ht="15" customHeight="1" x14ac:dyDescent="0.25">
      <c r="B47" s="246" t="s">
        <v>47</v>
      </c>
      <c r="C47" s="244" t="s">
        <v>46</v>
      </c>
      <c r="D47" s="244"/>
      <c r="E47" s="244"/>
      <c r="F47" s="244"/>
    </row>
    <row r="48" spans="2:6" ht="15" customHeight="1" x14ac:dyDescent="0.25">
      <c r="B48" s="247"/>
      <c r="C48" s="244"/>
      <c r="D48" s="244"/>
      <c r="E48" s="244"/>
      <c r="F48" s="244"/>
    </row>
    <row r="49" spans="2:6" ht="15" customHeight="1" x14ac:dyDescent="0.25">
      <c r="B49" s="249" t="s">
        <v>12</v>
      </c>
      <c r="C49" s="250"/>
      <c r="D49" s="250"/>
      <c r="E49" s="250"/>
      <c r="F49" s="251"/>
    </row>
    <row r="50" spans="2:6" ht="15" customHeight="1" x14ac:dyDescent="0.25">
      <c r="B50" s="245" t="s">
        <v>72</v>
      </c>
      <c r="C50" s="244" t="s">
        <v>45</v>
      </c>
      <c r="D50" s="244"/>
      <c r="E50" s="244"/>
      <c r="F50" s="244"/>
    </row>
    <row r="51" spans="2:6" ht="15" customHeight="1" x14ac:dyDescent="0.25">
      <c r="B51" s="245"/>
      <c r="C51" s="244"/>
      <c r="D51" s="244"/>
      <c r="E51" s="244"/>
      <c r="F51" s="244"/>
    </row>
    <row r="52" spans="2:6" ht="15" customHeight="1" x14ac:dyDescent="0.25">
      <c r="B52" s="245"/>
      <c r="C52" s="244"/>
      <c r="D52" s="244"/>
      <c r="E52" s="244"/>
      <c r="F52" s="244"/>
    </row>
    <row r="53" spans="2:6" ht="15" customHeight="1" x14ac:dyDescent="0.25">
      <c r="B53" s="237" t="s">
        <v>44</v>
      </c>
      <c r="C53" s="237"/>
      <c r="D53" s="237"/>
      <c r="E53" s="237"/>
      <c r="F53" s="237"/>
    </row>
    <row r="54" spans="2:6" ht="15" customHeight="1" x14ac:dyDescent="0.25">
      <c r="B54" s="245" t="s">
        <v>43</v>
      </c>
      <c r="C54" s="244" t="s">
        <v>42</v>
      </c>
      <c r="D54" s="244"/>
      <c r="E54" s="244"/>
      <c r="F54" s="244"/>
    </row>
    <row r="55" spans="2:6" ht="15" customHeight="1" x14ac:dyDescent="0.25">
      <c r="B55" s="245"/>
      <c r="C55" s="244"/>
      <c r="D55" s="244"/>
      <c r="E55" s="244"/>
      <c r="F55" s="244"/>
    </row>
    <row r="56" spans="2:6" ht="15" customHeight="1" x14ac:dyDescent="0.25">
      <c r="B56" s="245" t="s">
        <v>41</v>
      </c>
      <c r="C56" s="244" t="s">
        <v>40</v>
      </c>
      <c r="D56" s="244"/>
      <c r="E56" s="244"/>
      <c r="F56" s="244"/>
    </row>
    <row r="57" spans="2:6" ht="15" customHeight="1" x14ac:dyDescent="0.25">
      <c r="B57" s="245"/>
      <c r="C57" s="244"/>
      <c r="D57" s="244"/>
      <c r="E57" s="244"/>
      <c r="F57" s="244"/>
    </row>
    <row r="58" spans="2:6" ht="15" customHeight="1" x14ac:dyDescent="0.25">
      <c r="B58" s="245" t="s">
        <v>70</v>
      </c>
      <c r="C58" s="244" t="s">
        <v>40</v>
      </c>
      <c r="D58" s="244"/>
      <c r="E58" s="244"/>
      <c r="F58" s="244"/>
    </row>
    <row r="59" spans="2:6" ht="15" customHeight="1" x14ac:dyDescent="0.25">
      <c r="B59" s="245"/>
      <c r="C59" s="244"/>
      <c r="D59" s="244"/>
      <c r="E59" s="244"/>
      <c r="F59" s="244"/>
    </row>
    <row r="60" spans="2:6" ht="15" customHeight="1" x14ac:dyDescent="0.25">
      <c r="B60" s="237" t="s">
        <v>80</v>
      </c>
      <c r="C60" s="237"/>
      <c r="D60" s="237"/>
      <c r="E60" s="237"/>
      <c r="F60" s="237"/>
    </row>
    <row r="61" spans="2:6" ht="15" customHeight="1" x14ac:dyDescent="0.25">
      <c r="B61" s="238" t="s">
        <v>81</v>
      </c>
      <c r="C61" s="229" t="s">
        <v>82</v>
      </c>
      <c r="D61" s="230"/>
      <c r="E61" s="230"/>
      <c r="F61" s="231"/>
    </row>
    <row r="62" spans="2:6" ht="15" customHeight="1" x14ac:dyDescent="0.25">
      <c r="B62" s="239"/>
      <c r="C62" s="241"/>
      <c r="D62" s="242"/>
      <c r="E62" s="242"/>
      <c r="F62" s="243"/>
    </row>
    <row r="63" spans="2:6" ht="15" customHeight="1" x14ac:dyDescent="0.25">
      <c r="B63" s="239"/>
      <c r="C63" s="241"/>
      <c r="D63" s="242"/>
      <c r="E63" s="242"/>
      <c r="F63" s="243"/>
    </row>
    <row r="64" spans="2:6" ht="15" customHeight="1" x14ac:dyDescent="0.25">
      <c r="B64" s="239"/>
      <c r="C64" s="241"/>
      <c r="D64" s="242"/>
      <c r="E64" s="242"/>
      <c r="F64" s="243"/>
    </row>
    <row r="65" spans="2:6" ht="15" customHeight="1" x14ac:dyDescent="0.25">
      <c r="B65" s="239"/>
      <c r="C65" s="241"/>
      <c r="D65" s="242"/>
      <c r="E65" s="242"/>
      <c r="F65" s="243"/>
    </row>
    <row r="66" spans="2:6" ht="15" customHeight="1" x14ac:dyDescent="0.25">
      <c r="B66" s="240"/>
      <c r="C66" s="232"/>
      <c r="D66" s="233"/>
      <c r="E66" s="233"/>
      <c r="F66" s="234"/>
    </row>
    <row r="67" spans="2:6" ht="15" customHeight="1" x14ac:dyDescent="0.25">
      <c r="B67" s="238" t="s">
        <v>84</v>
      </c>
      <c r="C67" s="229" t="s">
        <v>83</v>
      </c>
      <c r="D67" s="230"/>
      <c r="E67" s="230"/>
      <c r="F67" s="231"/>
    </row>
    <row r="68" spans="2:6" ht="15" customHeight="1" x14ac:dyDescent="0.25">
      <c r="B68" s="239"/>
      <c r="C68" s="241"/>
      <c r="D68" s="242"/>
      <c r="E68" s="242"/>
      <c r="F68" s="243"/>
    </row>
    <row r="69" spans="2:6" ht="15" customHeight="1" x14ac:dyDescent="0.25">
      <c r="B69" s="239"/>
      <c r="C69" s="241"/>
      <c r="D69" s="242"/>
      <c r="E69" s="242"/>
      <c r="F69" s="243"/>
    </row>
    <row r="70" spans="2:6" ht="15" customHeight="1" x14ac:dyDescent="0.25">
      <c r="B70" s="239"/>
      <c r="C70" s="241"/>
      <c r="D70" s="242"/>
      <c r="E70" s="242"/>
      <c r="F70" s="243"/>
    </row>
    <row r="71" spans="2:6" ht="15" customHeight="1" x14ac:dyDescent="0.25">
      <c r="B71" s="239"/>
      <c r="C71" s="241"/>
      <c r="D71" s="242"/>
      <c r="E71" s="242"/>
      <c r="F71" s="243"/>
    </row>
    <row r="72" spans="2:6" ht="15" customHeight="1" x14ac:dyDescent="0.25">
      <c r="B72" s="240"/>
      <c r="C72" s="232"/>
      <c r="D72" s="233"/>
      <c r="E72" s="233"/>
      <c r="F72" s="234"/>
    </row>
    <row r="73" spans="2:6" ht="15" customHeight="1" x14ac:dyDescent="0.25">
      <c r="B73" s="238" t="s">
        <v>85</v>
      </c>
      <c r="C73" s="229" t="s">
        <v>86</v>
      </c>
      <c r="D73" s="230"/>
      <c r="E73" s="230"/>
      <c r="F73" s="231"/>
    </row>
    <row r="74" spans="2:6" ht="15" customHeight="1" x14ac:dyDescent="0.25">
      <c r="B74" s="239"/>
      <c r="C74" s="241"/>
      <c r="D74" s="242"/>
      <c r="E74" s="242"/>
      <c r="F74" s="243"/>
    </row>
    <row r="75" spans="2:6" ht="15" customHeight="1" x14ac:dyDescent="0.25">
      <c r="B75" s="239"/>
      <c r="C75" s="241"/>
      <c r="D75" s="242"/>
      <c r="E75" s="242"/>
      <c r="F75" s="243"/>
    </row>
    <row r="76" spans="2:6" ht="15" customHeight="1" x14ac:dyDescent="0.25">
      <c r="B76" s="239"/>
      <c r="C76" s="241"/>
      <c r="D76" s="242"/>
      <c r="E76" s="242"/>
      <c r="F76" s="243"/>
    </row>
    <row r="77" spans="2:6" ht="15" customHeight="1" x14ac:dyDescent="0.25">
      <c r="B77" s="239"/>
      <c r="C77" s="241"/>
      <c r="D77" s="242"/>
      <c r="E77" s="242"/>
      <c r="F77" s="243"/>
    </row>
    <row r="78" spans="2:6" ht="15" customHeight="1" x14ac:dyDescent="0.25">
      <c r="B78" s="240"/>
      <c r="C78" s="232"/>
      <c r="D78" s="233"/>
      <c r="E78" s="233"/>
      <c r="F78" s="234"/>
    </row>
    <row r="79" spans="2:6" x14ac:dyDescent="0.25">
      <c r="B79" s="238" t="s">
        <v>87</v>
      </c>
      <c r="C79" s="229" t="s">
        <v>88</v>
      </c>
      <c r="D79" s="230"/>
      <c r="E79" s="230"/>
      <c r="F79" s="231"/>
    </row>
    <row r="80" spans="2:6" ht="15" customHeight="1" x14ac:dyDescent="0.25">
      <c r="B80" s="239"/>
      <c r="C80" s="241"/>
      <c r="D80" s="242"/>
      <c r="E80" s="242"/>
      <c r="F80" s="243"/>
    </row>
    <row r="81" spans="2:6" ht="15" customHeight="1" x14ac:dyDescent="0.25">
      <c r="B81" s="239"/>
      <c r="C81" s="241"/>
      <c r="D81" s="242"/>
      <c r="E81" s="242"/>
      <c r="F81" s="243"/>
    </row>
    <row r="82" spans="2:6" ht="15" customHeight="1" x14ac:dyDescent="0.25">
      <c r="B82" s="239"/>
      <c r="C82" s="241"/>
      <c r="D82" s="242"/>
      <c r="E82" s="242"/>
      <c r="F82" s="243"/>
    </row>
    <row r="83" spans="2:6" ht="15" customHeight="1" x14ac:dyDescent="0.25">
      <c r="B83" s="240"/>
      <c r="C83" s="232"/>
      <c r="D83" s="233"/>
      <c r="E83" s="233"/>
      <c r="F83" s="234"/>
    </row>
    <row r="84" spans="2:6" ht="15" customHeight="1" x14ac:dyDescent="0.25">
      <c r="B84" s="235" t="s">
        <v>77</v>
      </c>
      <c r="C84" s="229" t="s">
        <v>89</v>
      </c>
      <c r="D84" s="230"/>
      <c r="E84" s="230"/>
      <c r="F84" s="231"/>
    </row>
    <row r="85" spans="2:6" ht="15" customHeight="1" x14ac:dyDescent="0.25">
      <c r="B85" s="236"/>
      <c r="C85" s="232"/>
      <c r="D85" s="233"/>
      <c r="E85" s="233"/>
      <c r="F85" s="234"/>
    </row>
  </sheetData>
  <sheetProtection algorithmName="SHA-512" hashValue="P+JmQNZvZNU01vYBWxBj6YmnVriK45FVDs8cmTmArVKMuCWOU+s5iVGJs0NxYVODdzdqJSVQmkd8LGGq3c0RJg==" saltValue="aclkndv7yyrXIbYqNEZLqg==" spinCount="100000" sheet="1" objects="1" scenarios="1"/>
  <mergeCells count="61">
    <mergeCell ref="B2:F2"/>
    <mergeCell ref="B3:F3"/>
    <mergeCell ref="C4:F7"/>
    <mergeCell ref="B4:B7"/>
    <mergeCell ref="B39:F39"/>
    <mergeCell ref="B8:F8"/>
    <mergeCell ref="B13:F13"/>
    <mergeCell ref="B17:F17"/>
    <mergeCell ref="B22:F22"/>
    <mergeCell ref="B18:B19"/>
    <mergeCell ref="B34:F34"/>
    <mergeCell ref="C35:F36"/>
    <mergeCell ref="C9:F10"/>
    <mergeCell ref="B9:B10"/>
    <mergeCell ref="C11:F12"/>
    <mergeCell ref="B11:B12"/>
    <mergeCell ref="C14:F16"/>
    <mergeCell ref="B14:B16"/>
    <mergeCell ref="C58:F59"/>
    <mergeCell ref="B58:B59"/>
    <mergeCell ref="C28:F28"/>
    <mergeCell ref="C29:F29"/>
    <mergeCell ref="C30:F30"/>
    <mergeCell ref="B49:F49"/>
    <mergeCell ref="C50:F52"/>
    <mergeCell ref="B50:B52"/>
    <mergeCell ref="C32:F33"/>
    <mergeCell ref="C40:F43"/>
    <mergeCell ref="B40:B43"/>
    <mergeCell ref="C47:F48"/>
    <mergeCell ref="B47:B48"/>
    <mergeCell ref="C56:F57"/>
    <mergeCell ref="B56:B57"/>
    <mergeCell ref="B32:B33"/>
    <mergeCell ref="C54:F55"/>
    <mergeCell ref="B54:B55"/>
    <mergeCell ref="B23:B26"/>
    <mergeCell ref="B27:F27"/>
    <mergeCell ref="B53:F53"/>
    <mergeCell ref="C45:F46"/>
    <mergeCell ref="B45:B46"/>
    <mergeCell ref="B44:F44"/>
    <mergeCell ref="C18:F19"/>
    <mergeCell ref="C20:F21"/>
    <mergeCell ref="C23:F26"/>
    <mergeCell ref="B20:B21"/>
    <mergeCell ref="C37:F38"/>
    <mergeCell ref="B31:F31"/>
    <mergeCell ref="B35:B36"/>
    <mergeCell ref="B37:B38"/>
    <mergeCell ref="C84:F85"/>
    <mergeCell ref="B84:B85"/>
    <mergeCell ref="B60:F60"/>
    <mergeCell ref="B61:B66"/>
    <mergeCell ref="C61:F66"/>
    <mergeCell ref="C67:F72"/>
    <mergeCell ref="B67:B72"/>
    <mergeCell ref="C73:F78"/>
    <mergeCell ref="B73:B78"/>
    <mergeCell ref="C79:F83"/>
    <mergeCell ref="B79:B8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EE696-0640-4E59-B19E-7BFCCA85C912}">
  <dimension ref="B2:O26"/>
  <sheetViews>
    <sheetView workbookViewId="0"/>
  </sheetViews>
  <sheetFormatPr defaultRowHeight="15" x14ac:dyDescent="0.25"/>
  <cols>
    <col min="1" max="1" width="3.7109375" style="10" customWidth="1"/>
    <col min="2" max="2" width="30.7109375" style="1" customWidth="1"/>
    <col min="3" max="7" width="30.7109375" style="3" customWidth="1"/>
    <col min="8" max="8" width="3.7109375" style="10" customWidth="1"/>
    <col min="9" max="9" width="12.7109375" style="10" customWidth="1"/>
    <col min="10" max="10" width="16.7109375" style="10" customWidth="1"/>
    <col min="11" max="11" width="14.7109375" style="10" customWidth="1"/>
    <col min="12" max="12" width="3.7109375" style="10" customWidth="1"/>
    <col min="13" max="15" width="12.7109375" style="10" customWidth="1"/>
    <col min="16" max="16384" width="9.140625" style="10"/>
  </cols>
  <sheetData>
    <row r="2" spans="2:15" x14ac:dyDescent="0.25">
      <c r="B2" s="65" t="s">
        <v>4</v>
      </c>
      <c r="I2" s="55" t="s">
        <v>163</v>
      </c>
      <c r="M2" s="254" t="s">
        <v>170</v>
      </c>
      <c r="N2" s="254"/>
      <c r="O2" s="254"/>
    </row>
    <row r="3" spans="2:15" ht="15.75" thickBot="1" x14ac:dyDescent="0.3">
      <c r="I3" s="15" t="s">
        <v>164</v>
      </c>
      <c r="J3" s="15" t="s">
        <v>169</v>
      </c>
      <c r="K3" s="15" t="s">
        <v>168</v>
      </c>
      <c r="M3" s="15" t="s">
        <v>152</v>
      </c>
      <c r="N3" s="15" t="s">
        <v>150</v>
      </c>
      <c r="O3" s="15" t="s">
        <v>151</v>
      </c>
    </row>
    <row r="4" spans="2:15" ht="15.75" thickBot="1" x14ac:dyDescent="0.3">
      <c r="B4" s="2" t="s">
        <v>14</v>
      </c>
      <c r="C4" s="9"/>
      <c r="I4" s="85" t="s">
        <v>165</v>
      </c>
      <c r="J4" s="5" t="s">
        <v>167</v>
      </c>
      <c r="K4" s="109">
        <v>0.55000000000000004</v>
      </c>
      <c r="M4" s="85" t="s">
        <v>153</v>
      </c>
      <c r="N4" s="5">
        <v>6368</v>
      </c>
      <c r="O4" s="6">
        <v>1.3380000000000001</v>
      </c>
    </row>
    <row r="5" spans="2:15" ht="15.75" thickBot="1" x14ac:dyDescent="0.3">
      <c r="B5" s="2"/>
      <c r="I5" s="85" t="s">
        <v>166</v>
      </c>
      <c r="J5" s="5" t="s">
        <v>285</v>
      </c>
      <c r="K5" s="109">
        <v>0.78</v>
      </c>
      <c r="M5" s="255" t="s">
        <v>295</v>
      </c>
      <c r="N5" s="255"/>
      <c r="O5" s="255"/>
    </row>
    <row r="6" spans="2:15" x14ac:dyDescent="0.25">
      <c r="B6" s="2" t="s">
        <v>15</v>
      </c>
      <c r="C6" s="46"/>
      <c r="D6" s="47"/>
      <c r="E6" s="47"/>
      <c r="F6" s="47"/>
      <c r="G6" s="48"/>
      <c r="I6" s="255" t="s">
        <v>296</v>
      </c>
      <c r="J6" s="255"/>
      <c r="K6" s="255"/>
      <c r="M6" s="255"/>
      <c r="N6" s="255"/>
      <c r="O6" s="255"/>
    </row>
    <row r="7" spans="2:15" x14ac:dyDescent="0.25">
      <c r="B7" s="2" t="s">
        <v>138</v>
      </c>
      <c r="C7" s="49"/>
      <c r="D7" s="50"/>
      <c r="E7" s="50"/>
      <c r="F7" s="50"/>
      <c r="G7" s="51"/>
      <c r="I7" s="255"/>
      <c r="J7" s="255"/>
      <c r="K7" s="255"/>
    </row>
    <row r="8" spans="2:15" x14ac:dyDescent="0.25">
      <c r="B8" s="2" t="s">
        <v>127</v>
      </c>
      <c r="C8" s="86"/>
      <c r="D8" s="87"/>
      <c r="E8" s="87"/>
      <c r="F8" s="87"/>
      <c r="G8" s="88"/>
    </row>
    <row r="9" spans="2:15" x14ac:dyDescent="0.25">
      <c r="B9" s="2" t="s">
        <v>6</v>
      </c>
      <c r="C9" s="49"/>
      <c r="D9" s="50"/>
      <c r="E9" s="50"/>
      <c r="F9" s="50"/>
      <c r="G9" s="51"/>
    </row>
    <row r="10" spans="2:15" x14ac:dyDescent="0.25">
      <c r="B10" s="2" t="s">
        <v>140</v>
      </c>
      <c r="C10" s="73"/>
      <c r="D10" s="74"/>
      <c r="E10" s="74"/>
      <c r="F10" s="74"/>
      <c r="G10" s="75"/>
    </row>
    <row r="11" spans="2:15" x14ac:dyDescent="0.25">
      <c r="B11" s="2" t="s">
        <v>141</v>
      </c>
      <c r="C11" s="82"/>
      <c r="D11" s="83"/>
      <c r="E11" s="83"/>
      <c r="F11" s="83"/>
      <c r="G11" s="84"/>
    </row>
    <row r="12" spans="2:15" x14ac:dyDescent="0.25">
      <c r="B12" s="2" t="s">
        <v>143</v>
      </c>
      <c r="C12" s="76"/>
      <c r="D12" s="77"/>
      <c r="E12" s="77"/>
      <c r="F12" s="77"/>
      <c r="G12" s="78"/>
    </row>
    <row r="13" spans="2:15" x14ac:dyDescent="0.25">
      <c r="B13" s="2" t="s">
        <v>142</v>
      </c>
      <c r="C13" s="82"/>
      <c r="D13" s="83"/>
      <c r="E13" s="83"/>
      <c r="F13" s="83"/>
      <c r="G13" s="84"/>
    </row>
    <row r="14" spans="2:15" ht="15.75" thickBot="1" x14ac:dyDescent="0.3">
      <c r="B14" s="2" t="s">
        <v>144</v>
      </c>
      <c r="C14" s="79"/>
      <c r="D14" s="80"/>
      <c r="E14" s="80"/>
      <c r="F14" s="80"/>
      <c r="G14" s="81"/>
    </row>
    <row r="15" spans="2:15" x14ac:dyDescent="0.25">
      <c r="B15" s="2" t="s">
        <v>146</v>
      </c>
      <c r="C15" s="90">
        <f>IF(OR(C10="",C10="&lt; 5",C10="&gt; 20"),0,0.133*C10+0.64)</f>
        <v>0</v>
      </c>
      <c r="D15" s="91">
        <f t="shared" ref="D15:G15" si="0">IF(OR(D10="",D10="&lt; 5",D10="&gt; 20"),0,0.133*D10+0.64)</f>
        <v>0</v>
      </c>
      <c r="E15" s="91">
        <f t="shared" si="0"/>
        <v>0</v>
      </c>
      <c r="F15" s="91">
        <f t="shared" si="0"/>
        <v>0</v>
      </c>
      <c r="G15" s="92">
        <f t="shared" si="0"/>
        <v>0</v>
      </c>
    </row>
    <row r="16" spans="2:15" x14ac:dyDescent="0.25">
      <c r="B16" s="2" t="s">
        <v>149</v>
      </c>
      <c r="C16" s="93">
        <f>$K$4</f>
        <v>0.55000000000000004</v>
      </c>
      <c r="D16" s="94">
        <f t="shared" ref="D16:G16" si="1">$K$4</f>
        <v>0.55000000000000004</v>
      </c>
      <c r="E16" s="94">
        <f t="shared" si="1"/>
        <v>0.55000000000000004</v>
      </c>
      <c r="F16" s="94">
        <f t="shared" si="1"/>
        <v>0.55000000000000004</v>
      </c>
      <c r="G16" s="95">
        <f t="shared" si="1"/>
        <v>0.55000000000000004</v>
      </c>
    </row>
    <row r="17" spans="2:7" x14ac:dyDescent="0.25">
      <c r="B17" s="2" t="s">
        <v>147</v>
      </c>
      <c r="C17" s="96">
        <f>IF(OR(C10="",C10="&lt; 5",C10="&gt; 20"),0,0.08*C10+0.4989)</f>
        <v>0</v>
      </c>
      <c r="D17" s="97">
        <f t="shared" ref="D17:G17" si="2">IF(OR(D10="",D10="&lt; 5",D10="&gt; 20"),0,0.08*D10+0.4989)</f>
        <v>0</v>
      </c>
      <c r="E17" s="97">
        <f t="shared" si="2"/>
        <v>0</v>
      </c>
      <c r="F17" s="97">
        <f t="shared" si="2"/>
        <v>0</v>
      </c>
      <c r="G17" s="98">
        <f t="shared" si="2"/>
        <v>0</v>
      </c>
    </row>
    <row r="18" spans="2:7" ht="15.75" thickBot="1" x14ac:dyDescent="0.3">
      <c r="B18" s="2" t="s">
        <v>148</v>
      </c>
      <c r="C18" s="99">
        <f>$K$5</f>
        <v>0.78</v>
      </c>
      <c r="D18" s="100">
        <f t="shared" ref="D18:G18" si="3">$K$5</f>
        <v>0.78</v>
      </c>
      <c r="E18" s="100">
        <f t="shared" si="3"/>
        <v>0.78</v>
      </c>
      <c r="F18" s="100">
        <f t="shared" si="3"/>
        <v>0.78</v>
      </c>
      <c r="G18" s="101">
        <f t="shared" si="3"/>
        <v>0.78</v>
      </c>
    </row>
    <row r="19" spans="2:7" ht="15.75" thickBot="1" x14ac:dyDescent="0.3">
      <c r="B19" s="2"/>
    </row>
    <row r="20" spans="2:7" ht="15.75" thickBot="1" x14ac:dyDescent="0.3">
      <c r="B20" s="2" t="s">
        <v>154</v>
      </c>
      <c r="C20" s="119" t="str">
        <f>IFERROR(IF(OR(C10="&lt; 5",C10="&gt; 20"),"Not Eligible",IF(OR($C$4="",C6="",C7="",C8="",C9="",C10="",C11="",C12="",C13="",C14=""),"Enter equipment specs",IF(AND(C11&lt;=C15,C12&gt;=C16,C13&lt;=C17,C14&gt;=C18),"Eligible","Not Eligible"))),"Not Eligible")</f>
        <v>Enter equipment specs</v>
      </c>
      <c r="D20" s="120" t="str">
        <f t="shared" ref="D20:G20" si="4">IFERROR(IF(OR(D10="&lt; 5",D10="&gt; 20"),"Not Eligible",IF(OR($C$4="",D6="",D7="",D8="",D9="",D10="",D11="",D12="",D13="",D14=""),"Enter equipment specs",IF(AND(D11&lt;=D15,D12&gt;=D16,D13&lt;=D17,D14&gt;=D18),"Eligible","Not Eligible"))),"Not Eligible")</f>
        <v>Enter equipment specs</v>
      </c>
      <c r="E20" s="120" t="str">
        <f t="shared" si="4"/>
        <v>Enter equipment specs</v>
      </c>
      <c r="F20" s="120" t="str">
        <f t="shared" si="4"/>
        <v>Enter equipment specs</v>
      </c>
      <c r="G20" s="121" t="str">
        <f t="shared" si="4"/>
        <v>Enter equipment specs</v>
      </c>
    </row>
    <row r="21" spans="2:7" ht="15.75" thickBot="1" x14ac:dyDescent="0.3">
      <c r="B21" s="2"/>
    </row>
    <row r="22" spans="2:7" s="55" customFormat="1" x14ac:dyDescent="0.25">
      <c r="B22" s="2" t="s">
        <v>18</v>
      </c>
      <c r="C22" s="52">
        <f>IF(C20="Eligible",$O$4*C8,0)</f>
        <v>0</v>
      </c>
      <c r="D22" s="53">
        <f t="shared" ref="D22:G22" si="5">IF(D20="Eligible",$O$4*D8,0)</f>
        <v>0</v>
      </c>
      <c r="E22" s="53">
        <f t="shared" si="5"/>
        <v>0</v>
      </c>
      <c r="F22" s="53">
        <f t="shared" si="5"/>
        <v>0</v>
      </c>
      <c r="G22" s="54">
        <f t="shared" si="5"/>
        <v>0</v>
      </c>
    </row>
    <row r="23" spans="2:7" s="55" customFormat="1" x14ac:dyDescent="0.25">
      <c r="B23" s="2" t="s">
        <v>17</v>
      </c>
      <c r="C23" s="56">
        <f>IF(C20="Eligible",$N$4*C8,0)</f>
        <v>0</v>
      </c>
      <c r="D23" s="57">
        <f t="shared" ref="D23:G23" si="6">IF(D20="Eligible",$N$4*D8,0)</f>
        <v>0</v>
      </c>
      <c r="E23" s="57">
        <f t="shared" si="6"/>
        <v>0</v>
      </c>
      <c r="F23" s="57">
        <f t="shared" si="6"/>
        <v>0</v>
      </c>
      <c r="G23" s="58">
        <f t="shared" si="6"/>
        <v>0</v>
      </c>
    </row>
    <row r="24" spans="2:7" s="55" customFormat="1" x14ac:dyDescent="0.25">
      <c r="B24" s="2" t="s">
        <v>132</v>
      </c>
      <c r="C24" s="59">
        <f>IF(C20&lt;&gt;"Eligible",0,IF($C$4="Commercial Comprehensive",C8*850,IF($C$4="SCORE Plus",C23*0.12,0)))</f>
        <v>0</v>
      </c>
      <c r="D24" s="60">
        <f t="shared" ref="D24:G24" si="7">IF(D20&lt;&gt;"Eligible",0,IF($C$4="Commercial Comprehensive",D8*850,IF($C$4="SCORE Plus",D23*0.12,0)))</f>
        <v>0</v>
      </c>
      <c r="E24" s="60">
        <f t="shared" si="7"/>
        <v>0</v>
      </c>
      <c r="F24" s="60">
        <f t="shared" si="7"/>
        <v>0</v>
      </c>
      <c r="G24" s="61">
        <f t="shared" si="7"/>
        <v>0</v>
      </c>
    </row>
    <row r="25" spans="2:7" s="55" customFormat="1" ht="15.75" thickBot="1" x14ac:dyDescent="0.3">
      <c r="B25" s="2" t="s">
        <v>90</v>
      </c>
      <c r="C25" s="62">
        <f>Summary!$F$11</f>
        <v>12</v>
      </c>
      <c r="D25" s="63">
        <f>Summary!$F$11</f>
        <v>12</v>
      </c>
      <c r="E25" s="63">
        <f>Summary!$F$11</f>
        <v>12</v>
      </c>
      <c r="F25" s="63">
        <f>Summary!$F$11</f>
        <v>12</v>
      </c>
      <c r="G25" s="64">
        <f>Summary!$F$11</f>
        <v>12</v>
      </c>
    </row>
    <row r="26" spans="2:7" x14ac:dyDescent="0.25">
      <c r="B26" s="2"/>
    </row>
  </sheetData>
  <sheetProtection algorithmName="SHA-512" hashValue="/uVvfkiAFiPrfFgbNdrRn5q3UCCHYRyN1RE02/9Mkqm32hgxNPQlngemaXaIxIZa93ZsakjX18VB+zvRI/jsNA==" saltValue="A5uoOvP9OQq+eEvWjSz+sQ==" spinCount="100000" sheet="1" objects="1" scenarios="1"/>
  <mergeCells count="3">
    <mergeCell ref="M2:O2"/>
    <mergeCell ref="M5:O6"/>
    <mergeCell ref="I6:K7"/>
  </mergeCells>
  <conditionalFormatting sqref="C20:G20">
    <cfRule type="expression" dxfId="13" priority="1">
      <formula>C20="Not Eligible"</formula>
    </cfRule>
    <cfRule type="expression" dxfId="12" priority="2">
      <formula>C20="Eligible"</formula>
    </cfRule>
  </conditionalFormatting>
  <dataValidations count="3">
    <dataValidation type="list" allowBlank="1" showInputMessage="1" showErrorMessage="1" sqref="C4" xr:uid="{A67FD869-276E-402A-9D84-D6F6ADEB87D2}">
      <formula1>"Commercial Comprehensive, SCORE Plus"</formula1>
    </dataValidation>
    <dataValidation type="list" allowBlank="1" showInputMessage="1" showErrorMessage="1" sqref="C10:G10" xr:uid="{E7BC9F38-1557-4FC0-B543-45B90722D815}">
      <formula1>"&lt; 5, 5, 6, 7, 8, 9, 10, 11, 12, 13, 14, 15, 16, 17, 18, 19, 20, &gt; 20"</formula1>
    </dataValidation>
    <dataValidation type="list" allowBlank="1" showInputMessage="1" showErrorMessage="1" sqref="C9:G9" xr:uid="{4C7EBF6A-9131-4992-B1AB-1B06D53EFA84}">
      <formula1>"Half-size, Full-size"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6DF18-B99E-404C-B5B7-6D012336C2A7}">
  <dimension ref="B2:O25"/>
  <sheetViews>
    <sheetView workbookViewId="0"/>
  </sheetViews>
  <sheetFormatPr defaultRowHeight="15" x14ac:dyDescent="0.25"/>
  <cols>
    <col min="1" max="1" width="3.7109375" style="10" customWidth="1"/>
    <col min="2" max="2" width="30.7109375" style="1" customWidth="1"/>
    <col min="3" max="7" width="30.7109375" style="3" customWidth="1"/>
    <col min="8" max="8" width="3.7109375" style="10" customWidth="1"/>
    <col min="9" max="9" width="27.140625" style="10" bestFit="1" customWidth="1"/>
    <col min="10" max="10" width="18.28515625" style="10" bestFit="1" customWidth="1"/>
    <col min="11" max="11" width="14.7109375" style="10" customWidth="1"/>
    <col min="12" max="12" width="3.7109375" style="10" customWidth="1"/>
    <col min="13" max="13" width="16.140625" style="10" bestFit="1" customWidth="1"/>
    <col min="14" max="15" width="12.7109375" style="10" customWidth="1"/>
    <col min="16" max="16384" width="9.140625" style="10"/>
  </cols>
  <sheetData>
    <row r="2" spans="2:15" x14ac:dyDescent="0.25">
      <c r="B2" s="65" t="s">
        <v>128</v>
      </c>
      <c r="I2" s="55" t="s">
        <v>163</v>
      </c>
      <c r="M2" s="254" t="s">
        <v>170</v>
      </c>
      <c r="N2" s="254"/>
      <c r="O2" s="254"/>
    </row>
    <row r="3" spans="2:15" ht="15.75" thickBot="1" x14ac:dyDescent="0.3">
      <c r="I3" s="15" t="s">
        <v>164</v>
      </c>
      <c r="J3" s="15" t="s">
        <v>290</v>
      </c>
      <c r="K3" s="15" t="s">
        <v>168</v>
      </c>
      <c r="M3" s="15" t="s">
        <v>6</v>
      </c>
      <c r="N3" s="15" t="s">
        <v>150</v>
      </c>
      <c r="O3" s="15" t="s">
        <v>151</v>
      </c>
    </row>
    <row r="4" spans="2:15" ht="15.75" thickBot="1" x14ac:dyDescent="0.3">
      <c r="B4" s="2" t="s">
        <v>14</v>
      </c>
      <c r="C4" s="9"/>
      <c r="I4" s="85" t="s">
        <v>286</v>
      </c>
      <c r="J4" s="178">
        <v>1.4</v>
      </c>
      <c r="K4" s="109">
        <v>0.76</v>
      </c>
      <c r="M4" s="85" t="s">
        <v>287</v>
      </c>
      <c r="N4" s="5">
        <v>3043</v>
      </c>
      <c r="O4" s="6">
        <v>0.61199999999999999</v>
      </c>
    </row>
    <row r="5" spans="2:15" ht="15.75" thickBot="1" x14ac:dyDescent="0.3">
      <c r="B5" s="2"/>
      <c r="I5" s="85" t="s">
        <v>288</v>
      </c>
      <c r="J5" s="178">
        <v>1</v>
      </c>
      <c r="K5" s="109">
        <v>0.76</v>
      </c>
      <c r="M5" s="85" t="s">
        <v>289</v>
      </c>
      <c r="N5" s="5">
        <v>4633</v>
      </c>
      <c r="O5" s="6">
        <v>0.93899999999999995</v>
      </c>
    </row>
    <row r="6" spans="2:15" x14ac:dyDescent="0.25">
      <c r="B6" s="2" t="s">
        <v>15</v>
      </c>
      <c r="C6" s="46"/>
      <c r="D6" s="47"/>
      <c r="E6" s="47"/>
      <c r="F6" s="47"/>
      <c r="G6" s="48"/>
      <c r="I6" s="85" t="s">
        <v>156</v>
      </c>
      <c r="J6" s="178">
        <v>1</v>
      </c>
      <c r="K6" s="109">
        <v>0.71</v>
      </c>
      <c r="M6" s="85" t="s">
        <v>156</v>
      </c>
      <c r="N6" s="5">
        <v>244</v>
      </c>
      <c r="O6" s="6">
        <v>3.5999999999999997E-2</v>
      </c>
    </row>
    <row r="7" spans="2:15" x14ac:dyDescent="0.25">
      <c r="B7" s="2" t="s">
        <v>138</v>
      </c>
      <c r="C7" s="49"/>
      <c r="D7" s="50"/>
      <c r="E7" s="50"/>
      <c r="F7" s="50"/>
      <c r="G7" s="51"/>
      <c r="I7" s="255" t="s">
        <v>297</v>
      </c>
      <c r="J7" s="255"/>
      <c r="K7" s="255"/>
      <c r="M7" s="255" t="s">
        <v>298</v>
      </c>
      <c r="N7" s="255"/>
      <c r="O7" s="255"/>
    </row>
    <row r="8" spans="2:15" x14ac:dyDescent="0.25">
      <c r="B8" s="2" t="s">
        <v>127</v>
      </c>
      <c r="C8" s="86"/>
      <c r="D8" s="87"/>
      <c r="E8" s="87"/>
      <c r="F8" s="87"/>
      <c r="G8" s="88"/>
      <c r="I8" s="255"/>
      <c r="J8" s="255"/>
      <c r="K8" s="255"/>
      <c r="M8" s="255"/>
      <c r="N8" s="255"/>
      <c r="O8" s="255"/>
    </row>
    <row r="9" spans="2:15" x14ac:dyDescent="0.25">
      <c r="B9" s="2" t="s">
        <v>139</v>
      </c>
      <c r="C9" s="49"/>
      <c r="D9" s="50"/>
      <c r="E9" s="50"/>
      <c r="F9" s="50"/>
      <c r="G9" s="51"/>
    </row>
    <row r="10" spans="2:15" ht="15" customHeight="1" x14ac:dyDescent="0.25">
      <c r="B10" s="2" t="s">
        <v>291</v>
      </c>
      <c r="C10" s="122"/>
      <c r="D10" s="123"/>
      <c r="E10" s="123"/>
      <c r="F10" s="123"/>
      <c r="G10" s="124"/>
    </row>
    <row r="11" spans="2:15" ht="15.75" thickBot="1" x14ac:dyDescent="0.3">
      <c r="B11" s="2" t="s">
        <v>159</v>
      </c>
      <c r="C11" s="76"/>
      <c r="D11" s="77"/>
      <c r="E11" s="77"/>
      <c r="F11" s="77"/>
      <c r="G11" s="78"/>
    </row>
    <row r="12" spans="2:15" x14ac:dyDescent="0.25">
      <c r="B12" s="2" t="s">
        <v>145</v>
      </c>
      <c r="C12" s="136">
        <f>IF(C9="",0,VLOOKUP(C9,$I$4:$K$6,2,FALSE))</f>
        <v>0</v>
      </c>
      <c r="D12" s="137">
        <f>IF(D9="",0,VLOOKUP(D9,$I$4:$K$6,2,FALSE))</f>
        <v>0</v>
      </c>
      <c r="E12" s="137">
        <f t="shared" ref="E12:F12" si="0">IF(E9="",0,VLOOKUP(E9,$I$4:$K$6,2,FALSE))</f>
        <v>0</v>
      </c>
      <c r="F12" s="137">
        <f t="shared" si="0"/>
        <v>0</v>
      </c>
      <c r="G12" s="138">
        <f>IF(G9="",0,VLOOKUP(G9,$I$4:$K$6,2,FALSE))</f>
        <v>0</v>
      </c>
    </row>
    <row r="13" spans="2:15" ht="15.75" thickBot="1" x14ac:dyDescent="0.3">
      <c r="B13" s="2" t="s">
        <v>162</v>
      </c>
      <c r="C13" s="99">
        <f>IF(C9="",1,VLOOKUP(C9,$I$4:$K$6,3,FALSE))</f>
        <v>1</v>
      </c>
      <c r="D13" s="100">
        <f t="shared" ref="D13:G13" si="1">IF(D9="",1,VLOOKUP(D9,$I$4:$K$6,3,FALSE))</f>
        <v>1</v>
      </c>
      <c r="E13" s="100">
        <f t="shared" si="1"/>
        <v>1</v>
      </c>
      <c r="F13" s="100">
        <f t="shared" si="1"/>
        <v>1</v>
      </c>
      <c r="G13" s="101">
        <f t="shared" si="1"/>
        <v>1</v>
      </c>
    </row>
    <row r="14" spans="2:15" ht="15.75" thickBot="1" x14ac:dyDescent="0.3">
      <c r="B14" s="2"/>
    </row>
    <row r="15" spans="2:15" ht="15.75" thickBot="1" x14ac:dyDescent="0.3">
      <c r="B15" s="2" t="s">
        <v>154</v>
      </c>
      <c r="C15" s="119" t="str">
        <f>IFERROR(IF(OR($C$4="",C6="",C7="",C8="",C9="",C10="",C11=""),"Enter equipment specs",IF(AND(C10&lt;=C12,C11&gt;=C13),"Eligible","Not Eligible")),"Not Eligible")</f>
        <v>Enter equipment specs</v>
      </c>
      <c r="D15" s="120" t="str">
        <f t="shared" ref="D15:G15" si="2">IFERROR(IF(OR($C$4="",D6="",D7="",D8="",D9="",D10="",D11=""),"Enter equipment specs",IF(AND(D10&lt;=D12,D11&gt;=D13),"Eligible","Not Eligible")),"Not Eligible")</f>
        <v>Enter equipment specs</v>
      </c>
      <c r="E15" s="120" t="str">
        <f>IFERROR(IF(OR($C$4="",E6="",E7="",E8="",E9="",E10="",E11=""),"Enter equipment specs",IF(AND(E10&lt;=E12,E11&gt;=E13),"Eligible","Not Eligible")),"Not Eligible")</f>
        <v>Enter equipment specs</v>
      </c>
      <c r="F15" s="120" t="str">
        <f t="shared" si="2"/>
        <v>Enter equipment specs</v>
      </c>
      <c r="G15" s="121" t="str">
        <f t="shared" si="2"/>
        <v>Enter equipment specs</v>
      </c>
    </row>
    <row r="16" spans="2:15" ht="15.75" thickBot="1" x14ac:dyDescent="0.3">
      <c r="B16" s="2"/>
    </row>
    <row r="17" spans="2:15" s="55" customFormat="1" x14ac:dyDescent="0.25">
      <c r="B17" s="2" t="s">
        <v>18</v>
      </c>
      <c r="C17" s="52">
        <f>IF(C15="Eligible",VLOOKUP(C9,$M$4:$O$6,3,FALSE)*C8,0)</f>
        <v>0</v>
      </c>
      <c r="D17" s="53">
        <f>IF(D15="Eligible",VLOOKUP(D9,$M$4:$O$6,3,FALSE)*D8,0)</f>
        <v>0</v>
      </c>
      <c r="E17" s="53">
        <f>IF(E15="Eligible",VLOOKUP(E9,$M$4:$O$6,3,FALSE)*E8,0)</f>
        <v>0</v>
      </c>
      <c r="F17" s="53">
        <f>IF(F15="Eligible",VLOOKUP(F9,$M$4:$O$6,3,FALSE)*F8,0)</f>
        <v>0</v>
      </c>
      <c r="G17" s="54">
        <f>IF(G15="Eligible",VLOOKUP(G9,$M$4:$O$6,3,FALSE)*G8,0)</f>
        <v>0</v>
      </c>
      <c r="I17" s="10"/>
      <c r="J17" s="10"/>
      <c r="K17" s="10"/>
      <c r="M17" s="10"/>
      <c r="N17" s="10"/>
      <c r="O17" s="10"/>
    </row>
    <row r="18" spans="2:15" s="55" customFormat="1" x14ac:dyDescent="0.25">
      <c r="B18" s="2" t="s">
        <v>17</v>
      </c>
      <c r="C18" s="56">
        <f>IF(C15="Eligible",VLOOKUP(C9,$M$4:$O$6,2,FALSE)*C8,0)</f>
        <v>0</v>
      </c>
      <c r="D18" s="57">
        <f>IF(D15="Eligible",VLOOKUP(D9,$M$4:$O$6,2,FALSE)*D8,0)</f>
        <v>0</v>
      </c>
      <c r="E18" s="57">
        <f>IF(E15="Eligible",VLOOKUP(E9,$M$4:$O$6,2,FALSE)*E8,0)</f>
        <v>0</v>
      </c>
      <c r="F18" s="57">
        <f>IF(F15="Eligible",VLOOKUP(F9,$M$4:$O$6,2,FALSE)*F8,0)</f>
        <v>0</v>
      </c>
      <c r="G18" s="58">
        <f>IF(G15="Eligible",VLOOKUP(G9,$M$4:$O$6,2,FALSE)*G8,0)</f>
        <v>0</v>
      </c>
    </row>
    <row r="19" spans="2:15" s="55" customFormat="1" x14ac:dyDescent="0.25">
      <c r="B19" s="2" t="s">
        <v>132</v>
      </c>
      <c r="C19" s="59">
        <f>IF(C15&lt;&gt;"Eligible",0,IF($C$4="Commercial Comprehensive",C8*VLOOKUP(C9,$B$23:$C$25,2,FALSE),IF($C$4="SCORE Plus",C18*0.12,0)))</f>
        <v>0</v>
      </c>
      <c r="D19" s="60">
        <f t="shared" ref="D19:F19" si="3">IF(D15&lt;&gt;"Eligible",0,IF($C$4="Commercial Comprehensive",D8*VLOOKUP(D9,$B$23:$C$25,2,FALSE),IF($C$4="SCORE Plus",D18*0.12,0)))</f>
        <v>0</v>
      </c>
      <c r="E19" s="60">
        <f t="shared" si="3"/>
        <v>0</v>
      </c>
      <c r="F19" s="60">
        <f t="shared" si="3"/>
        <v>0</v>
      </c>
      <c r="G19" s="61">
        <f>IF(G15&lt;&gt;"Eligible",0,IF($C$4="Commercial Comprehensive",G8*VLOOKUP(G9,$B$23:$C$25,2,FALSE),IF($C$4="SCORE Plus",G18*0.12,0)))</f>
        <v>0</v>
      </c>
    </row>
    <row r="20" spans="2:15" s="55" customFormat="1" ht="15.75" thickBot="1" x14ac:dyDescent="0.3">
      <c r="B20" s="2" t="s">
        <v>90</v>
      </c>
      <c r="C20" s="62">
        <f>Summary!$F$12</f>
        <v>12</v>
      </c>
      <c r="D20" s="63">
        <f>Summary!$F$12</f>
        <v>12</v>
      </c>
      <c r="E20" s="63">
        <f>Summary!$F$12</f>
        <v>12</v>
      </c>
      <c r="F20" s="63">
        <f>Summary!$F$12</f>
        <v>12</v>
      </c>
      <c r="G20" s="64">
        <f>Summary!$F$12</f>
        <v>12</v>
      </c>
    </row>
    <row r="21" spans="2:15" x14ac:dyDescent="0.25">
      <c r="B21" s="2"/>
      <c r="I21" s="55"/>
      <c r="J21" s="55"/>
      <c r="K21" s="55"/>
      <c r="M21" s="55"/>
      <c r="N21" s="55"/>
      <c r="O21" s="55"/>
    </row>
    <row r="22" spans="2:15" hidden="1" x14ac:dyDescent="0.25">
      <c r="B22" s="65" t="s">
        <v>160</v>
      </c>
    </row>
    <row r="23" spans="2:15" hidden="1" x14ac:dyDescent="0.25">
      <c r="B23" s="1" t="s">
        <v>156</v>
      </c>
      <c r="C23" s="108">
        <v>25</v>
      </c>
    </row>
    <row r="24" spans="2:15" hidden="1" x14ac:dyDescent="0.25">
      <c r="B24" s="1" t="s">
        <v>287</v>
      </c>
      <c r="C24" s="108">
        <v>250</v>
      </c>
    </row>
    <row r="25" spans="2:15" hidden="1" x14ac:dyDescent="0.25">
      <c r="B25" s="1" t="s">
        <v>289</v>
      </c>
      <c r="C25" s="108">
        <v>250</v>
      </c>
    </row>
  </sheetData>
  <sheetProtection algorithmName="SHA-512" hashValue="JmEmOPVjKlYNMcwoGtUQLokf5JdQMIGqEF5nT1p5rwTylmuPM2rGxM0aeKrYdsz/kYRetLrKx5Exb9t9fjhbZA==" saltValue="lodFk2qzvyX77C53qkVCzA==" spinCount="100000" sheet="1" objects="1" scenarios="1"/>
  <mergeCells count="3">
    <mergeCell ref="M2:O2"/>
    <mergeCell ref="M7:O8"/>
    <mergeCell ref="I7:K8"/>
  </mergeCells>
  <conditionalFormatting sqref="C15:G15">
    <cfRule type="expression" dxfId="11" priority="1">
      <formula>C15="Not Eligible"</formula>
    </cfRule>
    <cfRule type="expression" dxfId="10" priority="2">
      <formula>C15="Eligible"</formula>
    </cfRule>
  </conditionalFormatting>
  <dataValidations count="2">
    <dataValidation type="list" allowBlank="1" showInputMessage="1" showErrorMessage="1" sqref="C4" xr:uid="{8B15AD5B-40A2-499C-BFEC-2A132C1A2D3D}">
      <formula1>"Commercial Comprehensive, SCORE Plus"</formula1>
    </dataValidation>
    <dataValidation type="list" allowBlank="1" showInputMessage="1" showErrorMessage="1" sqref="C9:G9" xr:uid="{2D7C00F2-8573-4CC4-8E0C-5484510DD5A2}">
      <formula1>"Full-Size ≥ 5 Pans,Full-Size &lt; 5 Pans,Half-size"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D9D74-76CD-49E1-B4FA-1E8807601106}">
  <dimension ref="B2:O24"/>
  <sheetViews>
    <sheetView workbookViewId="0"/>
  </sheetViews>
  <sheetFormatPr defaultRowHeight="15" x14ac:dyDescent="0.25"/>
  <cols>
    <col min="1" max="1" width="3.7109375" style="10" customWidth="1"/>
    <col min="2" max="2" width="30.7109375" style="1" customWidth="1"/>
    <col min="3" max="7" width="30.7109375" style="3" customWidth="1"/>
    <col min="8" max="8" width="3.7109375" style="10" customWidth="1"/>
    <col min="9" max="9" width="12.7109375" style="10" customWidth="1"/>
    <col min="10" max="11" width="14.7109375" style="10" customWidth="1"/>
    <col min="12" max="12" width="3.7109375" style="10" customWidth="1"/>
    <col min="13" max="15" width="12.7109375" style="10" customWidth="1"/>
    <col min="16" max="16384" width="9.140625" style="10"/>
  </cols>
  <sheetData>
    <row r="2" spans="2:15" x14ac:dyDescent="0.25">
      <c r="B2" s="65" t="s">
        <v>0</v>
      </c>
      <c r="I2" s="55" t="s">
        <v>163</v>
      </c>
      <c r="M2" s="254" t="s">
        <v>170</v>
      </c>
      <c r="N2" s="254"/>
      <c r="O2" s="254"/>
    </row>
    <row r="3" spans="2:15" ht="15.75" thickBot="1" x14ac:dyDescent="0.3">
      <c r="I3" s="15" t="s">
        <v>164</v>
      </c>
      <c r="J3" s="15" t="s">
        <v>169</v>
      </c>
      <c r="K3" s="15" t="s">
        <v>168</v>
      </c>
      <c r="M3" s="15" t="s">
        <v>1</v>
      </c>
      <c r="N3" s="15" t="s">
        <v>150</v>
      </c>
      <c r="O3" s="15" t="s">
        <v>151</v>
      </c>
    </row>
    <row r="4" spans="2:15" ht="15.75" thickBot="1" x14ac:dyDescent="0.3">
      <c r="B4" s="2" t="s">
        <v>14</v>
      </c>
      <c r="C4" s="9"/>
      <c r="I4" s="14" t="s">
        <v>2</v>
      </c>
      <c r="J4" s="5">
        <v>800</v>
      </c>
      <c r="K4" s="109">
        <v>0.83</v>
      </c>
      <c r="M4" s="14" t="s">
        <v>2</v>
      </c>
      <c r="N4" s="7">
        <v>3272</v>
      </c>
      <c r="O4" s="6">
        <v>0.47599999999999998</v>
      </c>
    </row>
    <row r="5" spans="2:15" ht="15.75" thickBot="1" x14ac:dyDescent="0.3">
      <c r="B5" s="2"/>
      <c r="I5" s="14" t="s">
        <v>3</v>
      </c>
      <c r="J5" s="5">
        <v>1100</v>
      </c>
      <c r="K5" s="109">
        <v>0.8</v>
      </c>
      <c r="M5" s="14" t="s">
        <v>3</v>
      </c>
      <c r="N5" s="7">
        <v>2696</v>
      </c>
      <c r="O5" s="6">
        <v>0.51600000000000001</v>
      </c>
    </row>
    <row r="6" spans="2:15" x14ac:dyDescent="0.25">
      <c r="B6" s="2" t="s">
        <v>15</v>
      </c>
      <c r="C6" s="46"/>
      <c r="D6" s="47"/>
      <c r="E6" s="47"/>
      <c r="F6" s="47"/>
      <c r="G6" s="48"/>
      <c r="I6" s="255" t="s">
        <v>299</v>
      </c>
      <c r="J6" s="255"/>
      <c r="K6" s="255"/>
      <c r="M6" s="255" t="s">
        <v>300</v>
      </c>
      <c r="N6" s="255"/>
      <c r="O6" s="255"/>
    </row>
    <row r="7" spans="2:15" x14ac:dyDescent="0.25">
      <c r="B7" s="2" t="s">
        <v>138</v>
      </c>
      <c r="C7" s="49"/>
      <c r="D7" s="50"/>
      <c r="E7" s="50"/>
      <c r="F7" s="50"/>
      <c r="G7" s="51"/>
      <c r="I7" s="255"/>
      <c r="J7" s="255"/>
      <c r="K7" s="255"/>
      <c r="M7" s="255"/>
      <c r="N7" s="255"/>
      <c r="O7" s="255"/>
    </row>
    <row r="8" spans="2:15" x14ac:dyDescent="0.25">
      <c r="B8" s="2" t="s">
        <v>127</v>
      </c>
      <c r="C8" s="86"/>
      <c r="D8" s="87"/>
      <c r="E8" s="87"/>
      <c r="F8" s="87"/>
      <c r="G8" s="88"/>
    </row>
    <row r="9" spans="2:15" x14ac:dyDescent="0.25">
      <c r="B9" s="2" t="s">
        <v>161</v>
      </c>
      <c r="C9" s="49"/>
      <c r="D9" s="50"/>
      <c r="E9" s="50"/>
      <c r="F9" s="50"/>
      <c r="G9" s="51"/>
    </row>
    <row r="10" spans="2:15" x14ac:dyDescent="0.25">
      <c r="B10" s="2" t="s">
        <v>158</v>
      </c>
      <c r="C10" s="102"/>
      <c r="D10" s="103"/>
      <c r="E10" s="103"/>
      <c r="F10" s="103"/>
      <c r="G10" s="104"/>
    </row>
    <row r="11" spans="2:15" ht="15.75" thickBot="1" x14ac:dyDescent="0.3">
      <c r="B11" s="2" t="s">
        <v>159</v>
      </c>
      <c r="C11" s="79"/>
      <c r="D11" s="80"/>
      <c r="E11" s="80"/>
      <c r="F11" s="80"/>
      <c r="G11" s="81"/>
    </row>
    <row r="12" spans="2:15" x14ac:dyDescent="0.25">
      <c r="B12" s="2" t="s">
        <v>145</v>
      </c>
      <c r="C12" s="105">
        <f>IF(C9="",0,VLOOKUP(C9,$I$4:$K$5,2,FALSE))</f>
        <v>0</v>
      </c>
      <c r="D12" s="106">
        <f t="shared" ref="D12:G12" si="0">IF(D9="",0,VLOOKUP(D9,$I$4:$K$5,2,FALSE))</f>
        <v>0</v>
      </c>
      <c r="E12" s="106">
        <f t="shared" si="0"/>
        <v>0</v>
      </c>
      <c r="F12" s="106">
        <f t="shared" si="0"/>
        <v>0</v>
      </c>
      <c r="G12" s="107">
        <f t="shared" si="0"/>
        <v>0</v>
      </c>
    </row>
    <row r="13" spans="2:15" ht="15.75" thickBot="1" x14ac:dyDescent="0.3">
      <c r="B13" s="2" t="s">
        <v>162</v>
      </c>
      <c r="C13" s="99">
        <f>IF(C9="",1,VLOOKUP(C9,$I$4:$K$5,3,FALSE))</f>
        <v>1</v>
      </c>
      <c r="D13" s="100">
        <f t="shared" ref="D13:G13" si="1">IF(D9="",1,VLOOKUP(D9,$I$4:$K$5,3,FALSE))</f>
        <v>1</v>
      </c>
      <c r="E13" s="100">
        <f t="shared" si="1"/>
        <v>1</v>
      </c>
      <c r="F13" s="100">
        <f t="shared" si="1"/>
        <v>1</v>
      </c>
      <c r="G13" s="101">
        <f t="shared" si="1"/>
        <v>1</v>
      </c>
    </row>
    <row r="14" spans="2:15" ht="15.75" thickBot="1" x14ac:dyDescent="0.3">
      <c r="B14" s="2"/>
    </row>
    <row r="15" spans="2:15" ht="15.75" thickBot="1" x14ac:dyDescent="0.3">
      <c r="B15" s="2" t="s">
        <v>154</v>
      </c>
      <c r="C15" s="119" t="str">
        <f>IFERROR(IF(OR($C$4="",C6="",C7="",C8="",C9="",C10="",C11=""),"Enter equipment specs",IF(AND(C10&lt;=C12,C11&gt;=C13),"Eligible","Not Eligible")),"Not Eligible")</f>
        <v>Enter equipment specs</v>
      </c>
      <c r="D15" s="120" t="str">
        <f t="shared" ref="D15:G15" si="2">IFERROR(IF(OR($C$4="",D6="",D7="",D8="",D9="",D10="",D11=""),"Enter equipment specs",IF(AND(D10&lt;=D12,D11&gt;=D13),"Eligible","Not Eligible")),"Not Eligible")</f>
        <v>Enter equipment specs</v>
      </c>
      <c r="E15" s="120" t="str">
        <f t="shared" si="2"/>
        <v>Enter equipment specs</v>
      </c>
      <c r="F15" s="120" t="str">
        <f t="shared" si="2"/>
        <v>Enter equipment specs</v>
      </c>
      <c r="G15" s="121" t="str">
        <f t="shared" si="2"/>
        <v>Enter equipment specs</v>
      </c>
    </row>
    <row r="16" spans="2:15" ht="15.75" thickBot="1" x14ac:dyDescent="0.3">
      <c r="B16" s="2"/>
    </row>
    <row r="17" spans="2:7" s="55" customFormat="1" x14ac:dyDescent="0.25">
      <c r="B17" s="2" t="s">
        <v>18</v>
      </c>
      <c r="C17" s="52">
        <f>IF(C15="Eligible",VLOOKUP(C9,$M$4:$O$5,3,FALSE)*C8,0)</f>
        <v>0</v>
      </c>
      <c r="D17" s="53">
        <f>IF(D15="Eligible",VLOOKUP(D9,$M$4:$O$5,3,FALSE)*D8,0)</f>
        <v>0</v>
      </c>
      <c r="E17" s="53">
        <f>IF(E15="Eligible",VLOOKUP(E9,$M$4:$O$5,3,FALSE)*E8,0)</f>
        <v>0</v>
      </c>
      <c r="F17" s="53">
        <f>IF(F15="Eligible",VLOOKUP(F9,$M$4:$O$5,3,FALSE)*F8,0)</f>
        <v>0</v>
      </c>
      <c r="G17" s="54">
        <f>IF(G15="Eligible",VLOOKUP(G9,$M$4:$O$5,3,FALSE)*G8,0)</f>
        <v>0</v>
      </c>
    </row>
    <row r="18" spans="2:7" s="55" customFormat="1" x14ac:dyDescent="0.25">
      <c r="B18" s="2" t="s">
        <v>17</v>
      </c>
      <c r="C18" s="56">
        <f>IF(C15="Eligible",VLOOKUP(C9,$M$4:$O$5,2,FALSE)*C8,0)</f>
        <v>0</v>
      </c>
      <c r="D18" s="57">
        <f>IF(D15="Eligible",VLOOKUP(D9,$M$4:$O$5,2,FALSE)*D8,0)</f>
        <v>0</v>
      </c>
      <c r="E18" s="57">
        <f>IF(E15="Eligible",VLOOKUP(E9,$M$4:$O$5,2,FALSE)*E8,0)</f>
        <v>0</v>
      </c>
      <c r="F18" s="57">
        <f>IF(F15="Eligible",VLOOKUP(F9,$M$4:$O$5,2,FALSE)*F8,0)</f>
        <v>0</v>
      </c>
      <c r="G18" s="58">
        <f>IF(G15="Eligible",VLOOKUP(G9,$M$4:$O$5,2,FALSE)*G8,0)</f>
        <v>0</v>
      </c>
    </row>
    <row r="19" spans="2:7" s="55" customFormat="1" x14ac:dyDescent="0.25">
      <c r="B19" s="2" t="s">
        <v>132</v>
      </c>
      <c r="C19" s="59">
        <f>IF(C15&lt;&gt;"Eligible",0,IF($C$4="Commercial Comprehensive",C8*VLOOKUP(C9,$B$23:$C$24,2,FALSE),IF($C$4="SCORE Plus",C18*0.12,0)))</f>
        <v>0</v>
      </c>
      <c r="D19" s="60">
        <f t="shared" ref="D19:G19" si="3">IF(D15&lt;&gt;"Eligible",0,IF($C$4="Commercial Comprehensive",D8*VLOOKUP(D9,$B$23:$C$24,2,FALSE),IF($C$4="SCORE Plus",D18*0.12,0)))</f>
        <v>0</v>
      </c>
      <c r="E19" s="60">
        <f t="shared" si="3"/>
        <v>0</v>
      </c>
      <c r="F19" s="60">
        <f t="shared" si="3"/>
        <v>0</v>
      </c>
      <c r="G19" s="61">
        <f t="shared" si="3"/>
        <v>0</v>
      </c>
    </row>
    <row r="20" spans="2:7" s="55" customFormat="1" ht="15.75" thickBot="1" x14ac:dyDescent="0.3">
      <c r="B20" s="2" t="s">
        <v>90</v>
      </c>
      <c r="C20" s="62">
        <f>Summary!$F$13</f>
        <v>12</v>
      </c>
      <c r="D20" s="63">
        <f>Summary!$F$13</f>
        <v>12</v>
      </c>
      <c r="E20" s="63">
        <f>Summary!$F$13</f>
        <v>12</v>
      </c>
      <c r="F20" s="63">
        <f>Summary!$F$13</f>
        <v>12</v>
      </c>
      <c r="G20" s="64">
        <f>Summary!$F$13</f>
        <v>12</v>
      </c>
    </row>
    <row r="21" spans="2:7" x14ac:dyDescent="0.25">
      <c r="B21" s="2"/>
    </row>
    <row r="22" spans="2:7" hidden="1" x14ac:dyDescent="0.25">
      <c r="B22" s="65" t="s">
        <v>160</v>
      </c>
    </row>
    <row r="23" spans="2:7" hidden="1" x14ac:dyDescent="0.25">
      <c r="B23" s="1" t="s">
        <v>2</v>
      </c>
      <c r="C23" s="108">
        <v>250</v>
      </c>
    </row>
    <row r="24" spans="2:7" hidden="1" x14ac:dyDescent="0.25">
      <c r="B24" s="1" t="s">
        <v>3</v>
      </c>
      <c r="C24" s="108">
        <v>350</v>
      </c>
    </row>
  </sheetData>
  <sheetProtection algorithmName="SHA-512" hashValue="x/79u6Qc+X1l0AlbEgQuYg0dk1wbcPwt9J11XswraCu8gHvdEabKh4RnN5Vl/F84pD3rm/mP+YEq+BoAczWEFw==" saltValue="5XO4ulF1S34XoykM3aD++Q==" spinCount="100000" sheet="1" objects="1" scenarios="1"/>
  <mergeCells count="3">
    <mergeCell ref="M2:O2"/>
    <mergeCell ref="M6:O7"/>
    <mergeCell ref="I6:K7"/>
  </mergeCells>
  <conditionalFormatting sqref="C15:G15">
    <cfRule type="expression" dxfId="9" priority="1">
      <formula>C15="Not Eligible"</formula>
    </cfRule>
    <cfRule type="expression" dxfId="8" priority="2">
      <formula>C15="Eligible"</formula>
    </cfRule>
  </conditionalFormatting>
  <dataValidations count="2">
    <dataValidation type="list" allowBlank="1" showInputMessage="1" showErrorMessage="1" sqref="C4" xr:uid="{9F88D743-464C-47D3-B792-C600C821BE77}">
      <formula1>"Commercial Comprehensive, SCORE Plus"</formula1>
    </dataValidation>
    <dataValidation type="list" allowBlank="1" showInputMessage="1" showErrorMessage="1" sqref="C9:G9" xr:uid="{8CA2DCCE-F980-4BE4-8B05-4D92098C6B15}">
      <formula1>"Standard, Large Vat"</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5C115-989F-4BD1-A774-965AD8A64B2F}">
  <dimension ref="B2:O27"/>
  <sheetViews>
    <sheetView workbookViewId="0"/>
  </sheetViews>
  <sheetFormatPr defaultRowHeight="15" x14ac:dyDescent="0.25"/>
  <cols>
    <col min="1" max="1" width="3.7109375" style="10" customWidth="1"/>
    <col min="2" max="2" width="30.7109375" style="1" customWidth="1"/>
    <col min="3" max="7" width="30.7109375" style="3" customWidth="1"/>
    <col min="8" max="8" width="3.7109375" style="10" customWidth="1"/>
    <col min="9" max="9" width="12.7109375" style="10" customWidth="1"/>
    <col min="10" max="11" width="14.7109375" style="10" customWidth="1"/>
    <col min="12" max="12" width="3.7109375" style="10" customWidth="1"/>
    <col min="13" max="15" width="12.7109375" style="10" customWidth="1"/>
    <col min="16" max="16384" width="9.140625" style="10"/>
  </cols>
  <sheetData>
    <row r="2" spans="2:15" x14ac:dyDescent="0.25">
      <c r="B2" s="65" t="s">
        <v>11</v>
      </c>
      <c r="I2" s="55" t="s">
        <v>163</v>
      </c>
      <c r="M2" s="254" t="s">
        <v>170</v>
      </c>
      <c r="N2" s="254"/>
      <c r="O2" s="254"/>
    </row>
    <row r="3" spans="2:15" ht="15.75" thickBot="1" x14ac:dyDescent="0.3">
      <c r="I3" s="15" t="s">
        <v>152</v>
      </c>
      <c r="J3" s="15" t="s">
        <v>169</v>
      </c>
      <c r="K3" s="15" t="s">
        <v>168</v>
      </c>
      <c r="M3" s="15" t="s">
        <v>152</v>
      </c>
      <c r="N3" s="15" t="s">
        <v>150</v>
      </c>
      <c r="O3" s="15" t="s">
        <v>151</v>
      </c>
    </row>
    <row r="4" spans="2:15" ht="15.75" thickBot="1" x14ac:dyDescent="0.3">
      <c r="B4" s="2" t="s">
        <v>14</v>
      </c>
      <c r="C4" s="9"/>
      <c r="I4" s="14" t="s">
        <v>178</v>
      </c>
      <c r="J4" s="5">
        <v>400</v>
      </c>
      <c r="K4" s="109">
        <v>0.5</v>
      </c>
      <c r="M4" s="256" t="s">
        <v>175</v>
      </c>
      <c r="N4" s="256"/>
      <c r="O4" s="256"/>
    </row>
    <row r="5" spans="2:15" ht="15.75" thickBot="1" x14ac:dyDescent="0.3">
      <c r="B5" s="2"/>
      <c r="I5" s="14" t="s">
        <v>179</v>
      </c>
      <c r="J5" s="5">
        <v>530</v>
      </c>
      <c r="K5" s="109">
        <v>0.5</v>
      </c>
      <c r="M5" s="14" t="s">
        <v>178</v>
      </c>
      <c r="N5" s="5">
        <v>11784</v>
      </c>
      <c r="O5" s="6">
        <v>2.4750000000000001</v>
      </c>
    </row>
    <row r="6" spans="2:15" x14ac:dyDescent="0.25">
      <c r="B6" s="2" t="s">
        <v>15</v>
      </c>
      <c r="C6" s="46"/>
      <c r="D6" s="47"/>
      <c r="E6" s="47"/>
      <c r="F6" s="47"/>
      <c r="G6" s="48"/>
      <c r="I6" s="14" t="s">
        <v>180</v>
      </c>
      <c r="J6" s="5">
        <v>670</v>
      </c>
      <c r="K6" s="109">
        <v>0.5</v>
      </c>
      <c r="M6" s="14" t="s">
        <v>179</v>
      </c>
      <c r="N6" s="5">
        <v>14553</v>
      </c>
      <c r="O6" s="6">
        <v>3.0569999999999999</v>
      </c>
    </row>
    <row r="7" spans="2:15" x14ac:dyDescent="0.25">
      <c r="B7" s="2" t="s">
        <v>138</v>
      </c>
      <c r="C7" s="49"/>
      <c r="D7" s="50"/>
      <c r="E7" s="50"/>
      <c r="F7" s="50"/>
      <c r="G7" s="51"/>
      <c r="I7" s="14" t="s">
        <v>181</v>
      </c>
      <c r="J7" s="5">
        <v>800</v>
      </c>
      <c r="K7" s="109">
        <v>0.5</v>
      </c>
      <c r="M7" s="14" t="s">
        <v>180</v>
      </c>
      <c r="N7" s="5">
        <v>17268</v>
      </c>
      <c r="O7" s="6">
        <v>3.6269999999999998</v>
      </c>
    </row>
    <row r="8" spans="2:15" x14ac:dyDescent="0.25">
      <c r="B8" s="2" t="s">
        <v>127</v>
      </c>
      <c r="C8" s="86"/>
      <c r="D8" s="87"/>
      <c r="E8" s="87"/>
      <c r="F8" s="87"/>
      <c r="G8" s="88"/>
      <c r="I8" s="255" t="s">
        <v>301</v>
      </c>
      <c r="J8" s="255"/>
      <c r="K8" s="255"/>
      <c r="M8" s="14" t="s">
        <v>181</v>
      </c>
      <c r="N8" s="5">
        <v>19990</v>
      </c>
      <c r="O8" s="6">
        <v>4.1989999999999998</v>
      </c>
    </row>
    <row r="9" spans="2:15" x14ac:dyDescent="0.25">
      <c r="B9" s="2" t="s">
        <v>176</v>
      </c>
      <c r="C9" s="73"/>
      <c r="D9" s="74"/>
      <c r="E9" s="74"/>
      <c r="F9" s="74"/>
      <c r="G9" s="75"/>
      <c r="I9" s="255"/>
      <c r="J9" s="255"/>
      <c r="K9" s="255"/>
      <c r="M9" s="256" t="s">
        <v>49</v>
      </c>
      <c r="N9" s="256"/>
      <c r="O9" s="256"/>
    </row>
    <row r="10" spans="2:15" x14ac:dyDescent="0.25">
      <c r="B10" s="2" t="s">
        <v>140</v>
      </c>
      <c r="C10" s="73"/>
      <c r="D10" s="74"/>
      <c r="E10" s="74"/>
      <c r="F10" s="74"/>
      <c r="G10" s="75"/>
      <c r="M10" s="14" t="s">
        <v>178</v>
      </c>
      <c r="N10" s="5">
        <v>9967</v>
      </c>
      <c r="O10" s="6">
        <v>2.093</v>
      </c>
    </row>
    <row r="11" spans="2:15" x14ac:dyDescent="0.25">
      <c r="B11" s="2" t="s">
        <v>158</v>
      </c>
      <c r="C11" s="102"/>
      <c r="D11" s="103"/>
      <c r="E11" s="103"/>
      <c r="F11" s="103"/>
      <c r="G11" s="104"/>
      <c r="M11" s="14" t="s">
        <v>179</v>
      </c>
      <c r="N11" s="5">
        <v>12107</v>
      </c>
      <c r="O11" s="6">
        <v>2.5430000000000001</v>
      </c>
    </row>
    <row r="12" spans="2:15" ht="15.75" thickBot="1" x14ac:dyDescent="0.3">
      <c r="B12" s="2" t="s">
        <v>159</v>
      </c>
      <c r="C12" s="79"/>
      <c r="D12" s="80"/>
      <c r="E12" s="80"/>
      <c r="F12" s="80"/>
      <c r="G12" s="81"/>
      <c r="M12" s="14" t="s">
        <v>180</v>
      </c>
      <c r="N12" s="5">
        <v>14186</v>
      </c>
      <c r="O12" s="6">
        <v>2.98</v>
      </c>
    </row>
    <row r="13" spans="2:15" x14ac:dyDescent="0.25">
      <c r="B13" s="2" t="s">
        <v>145</v>
      </c>
      <c r="C13" s="105">
        <f>IF(C10="",0,VLOOKUP(C10,$I$4:$K$7,2,FALSE))</f>
        <v>0</v>
      </c>
      <c r="D13" s="106">
        <f t="shared" ref="D13:G13" si="0">IF(D10="",0,VLOOKUP(D10,$I$4:$K$7,2,FALSE))</f>
        <v>0</v>
      </c>
      <c r="E13" s="106">
        <f t="shared" si="0"/>
        <v>0</v>
      </c>
      <c r="F13" s="106">
        <f t="shared" si="0"/>
        <v>0</v>
      </c>
      <c r="G13" s="107">
        <f t="shared" si="0"/>
        <v>0</v>
      </c>
      <c r="M13" s="14" t="s">
        <v>181</v>
      </c>
      <c r="N13" s="5">
        <v>16270</v>
      </c>
      <c r="O13" s="6">
        <v>3.4169999999999998</v>
      </c>
    </row>
    <row r="14" spans="2:15" ht="15.75" thickBot="1" x14ac:dyDescent="0.3">
      <c r="B14" s="2" t="s">
        <v>162</v>
      </c>
      <c r="C14" s="99">
        <f>IF(C10="",1,VLOOKUP(C10,$I$4:$K$7,3,FALSE))</f>
        <v>1</v>
      </c>
      <c r="D14" s="100">
        <f t="shared" ref="D14:G14" si="1">IF(D10="",1,VLOOKUP(D10,$I$4:$K$7,3,FALSE))</f>
        <v>1</v>
      </c>
      <c r="E14" s="100">
        <f t="shared" si="1"/>
        <v>1</v>
      </c>
      <c r="F14" s="100">
        <f t="shared" si="1"/>
        <v>1</v>
      </c>
      <c r="G14" s="101">
        <f t="shared" si="1"/>
        <v>1</v>
      </c>
      <c r="M14" s="255" t="s">
        <v>302</v>
      </c>
      <c r="N14" s="255"/>
      <c r="O14" s="255"/>
    </row>
    <row r="15" spans="2:15" ht="15.75" thickBot="1" x14ac:dyDescent="0.3">
      <c r="B15" s="2"/>
      <c r="M15" s="255"/>
      <c r="N15" s="255"/>
      <c r="O15" s="255"/>
    </row>
    <row r="16" spans="2:15" ht="15.75" thickBot="1" x14ac:dyDescent="0.3">
      <c r="B16" s="2" t="s">
        <v>154</v>
      </c>
      <c r="C16" s="119" t="str">
        <f>IFERROR(IF(OR($C$4="",C6="",C7="",C8="",C10="",C11="",C12=""),"Enter equipment specs",IF(AND(C11&lt;=C13,C12&gt;=C14),"Eligible","Not Eligible")),"Not Eligible")</f>
        <v>Enter equipment specs</v>
      </c>
      <c r="D16" s="120" t="str">
        <f>IFERROR(IF(OR($C$4="",D6="",D7="",D8="",D10="",D11="",D12=""),"Enter equipment specs",IF(AND(D11&lt;=D13,D12&gt;=D14),"Eligible","Not Eligible")),"Not Eligible")</f>
        <v>Enter equipment specs</v>
      </c>
      <c r="E16" s="120" t="str">
        <f>IFERROR(IF(OR($C$4="",E6="",E7="",E8="",E10="",E11="",E12=""),"Enter equipment specs",IF(AND(E11&lt;=E13,E12&gt;=E14),"Eligible","Not Eligible")),"Not Eligible")</f>
        <v>Enter equipment specs</v>
      </c>
      <c r="F16" s="120" t="str">
        <f>IFERROR(IF(OR($C$4="",F6="",F7="",F8="",F10="",F11="",F12=""),"Enter equipment specs",IF(AND(F11&lt;=F13,F12&gt;=F14),"Eligible","Not Eligible")),"Not Eligible")</f>
        <v>Enter equipment specs</v>
      </c>
      <c r="G16" s="121" t="str">
        <f>IFERROR(IF(OR($C$4="",G6="",G7="",G8="",G10="",G11="",G12=""),"Enter equipment specs",IF(AND(G11&lt;=G13,G12&gt;=G14),"Eligible","Not Eligible")),"Not Eligible")</f>
        <v>Enter equipment specs</v>
      </c>
    </row>
    <row r="17" spans="2:15" s="55" customFormat="1" ht="15.75" thickBot="1" x14ac:dyDescent="0.3">
      <c r="B17" s="2"/>
      <c r="C17" s="3"/>
      <c r="D17" s="3"/>
      <c r="E17" s="3"/>
      <c r="F17" s="3"/>
      <c r="G17" s="3"/>
      <c r="M17" s="10"/>
      <c r="N17" s="10"/>
      <c r="O17" s="10"/>
    </row>
    <row r="18" spans="2:15" s="55" customFormat="1" x14ac:dyDescent="0.25">
      <c r="B18" s="2" t="s">
        <v>18</v>
      </c>
      <c r="C18" s="52">
        <f>IF(AND(C16="Eligible",C9="Boiler Based"),VLOOKUP(C10,$M$5:$O$8,3,FALSE)*C8,IF(AND(C16="Eligible",C9="Steam Generator"),VLOOKUP(C10,$M$10:$O$13,3,FALSE)*C8,0))</f>
        <v>0</v>
      </c>
      <c r="D18" s="53">
        <f t="shared" ref="D18:G18" si="2">IF(AND(D16="Eligible",D9="Boiler Based"),VLOOKUP(D10,$M$5:$O$8,3,FALSE)*D8,IF(AND(D16="Eligible",D9="Steam Generator"),VLOOKUP(D10,$M$10:$O$13,3,FALSE)*D8,0))</f>
        <v>0</v>
      </c>
      <c r="E18" s="53">
        <f t="shared" si="2"/>
        <v>0</v>
      </c>
      <c r="F18" s="53">
        <f t="shared" si="2"/>
        <v>0</v>
      </c>
      <c r="G18" s="54">
        <f t="shared" si="2"/>
        <v>0</v>
      </c>
      <c r="M18" s="10"/>
      <c r="N18" s="10"/>
      <c r="O18" s="10"/>
    </row>
    <row r="19" spans="2:15" s="55" customFormat="1" x14ac:dyDescent="0.25">
      <c r="B19" s="2" t="s">
        <v>17</v>
      </c>
      <c r="C19" s="56">
        <f>IF(AND(C16="Eligible",C9="Boiler Based"),VLOOKUP(C10,$M$5:$O$8,2,FALSE)*C8,IF(AND(C16="Eligible",C9="Steam Generator"),VLOOKUP(C10,$M$10:$O$13,2,FALSE)*C8,0))</f>
        <v>0</v>
      </c>
      <c r="D19" s="57">
        <f t="shared" ref="D19:G19" si="3">IF(AND(D16="Eligible",D9="Boiler Based"),VLOOKUP(D10,$M$5:$O$8,2,FALSE)*D8,IF(AND(D16="Eligible",D9="Steam Generator"),VLOOKUP(D10,$M$10:$O$13,2,FALSE)*D8,0))</f>
        <v>0</v>
      </c>
      <c r="E19" s="57">
        <f t="shared" si="3"/>
        <v>0</v>
      </c>
      <c r="F19" s="57">
        <f t="shared" si="3"/>
        <v>0</v>
      </c>
      <c r="G19" s="58">
        <f t="shared" si="3"/>
        <v>0</v>
      </c>
      <c r="M19" s="10"/>
      <c r="N19" s="10"/>
      <c r="O19" s="10"/>
    </row>
    <row r="20" spans="2:15" s="55" customFormat="1" x14ac:dyDescent="0.25">
      <c r="B20" s="2" t="s">
        <v>132</v>
      </c>
      <c r="C20" s="59">
        <f>IF(C16&lt;&gt;"Eligible",0,IF($C$4="Commercial Comprehensive",C8*VLOOKUP(C10,$B$24:$C$27,2,FALSE),IF($C$4="SCORE Plus",C19*0.12,0)))</f>
        <v>0</v>
      </c>
      <c r="D20" s="60">
        <f t="shared" ref="D20:G20" si="4">IF(D16&lt;&gt;"Eligible",0,IF($C$4="Commercial Comprehensive",D8*VLOOKUP(D10,$B$24:$C$27,2,FALSE),IF($C$4="SCORE Plus",D19*0.12,0)))</f>
        <v>0</v>
      </c>
      <c r="E20" s="60">
        <f t="shared" si="4"/>
        <v>0</v>
      </c>
      <c r="F20" s="60">
        <f t="shared" si="4"/>
        <v>0</v>
      </c>
      <c r="G20" s="61">
        <f t="shared" si="4"/>
        <v>0</v>
      </c>
      <c r="M20" s="10"/>
      <c r="N20" s="10"/>
      <c r="O20" s="10"/>
    </row>
    <row r="21" spans="2:15" ht="15.75" thickBot="1" x14ac:dyDescent="0.3">
      <c r="B21" s="2" t="s">
        <v>90</v>
      </c>
      <c r="C21" s="62">
        <f>Summary!$F$14</f>
        <v>12</v>
      </c>
      <c r="D21" s="63">
        <f>Summary!$F$14</f>
        <v>12</v>
      </c>
      <c r="E21" s="63">
        <f>Summary!$F$14</f>
        <v>12</v>
      </c>
      <c r="F21" s="63">
        <f>Summary!$F$14</f>
        <v>12</v>
      </c>
      <c r="G21" s="64">
        <f>Summary!$F$14</f>
        <v>12</v>
      </c>
    </row>
    <row r="22" spans="2:15" x14ac:dyDescent="0.25">
      <c r="B22" s="2"/>
    </row>
    <row r="23" spans="2:15" hidden="1" x14ac:dyDescent="0.25">
      <c r="B23" s="65" t="s">
        <v>160</v>
      </c>
    </row>
    <row r="24" spans="2:15" hidden="1" x14ac:dyDescent="0.25">
      <c r="B24" s="1" t="s">
        <v>171</v>
      </c>
      <c r="C24" s="108">
        <v>1400</v>
      </c>
      <c r="D24" s="108"/>
    </row>
    <row r="25" spans="2:15" hidden="1" x14ac:dyDescent="0.25">
      <c r="B25" s="1" t="s">
        <v>172</v>
      </c>
      <c r="C25" s="108">
        <v>1600</v>
      </c>
      <c r="D25" s="108"/>
    </row>
    <row r="26" spans="2:15" hidden="1" x14ac:dyDescent="0.25">
      <c r="B26" s="1" t="s">
        <v>173</v>
      </c>
      <c r="C26" s="108">
        <v>1850</v>
      </c>
      <c r="D26" s="108"/>
    </row>
    <row r="27" spans="2:15" hidden="1" x14ac:dyDescent="0.25">
      <c r="B27" s="1" t="s">
        <v>174</v>
      </c>
      <c r="C27" s="108">
        <v>2200</v>
      </c>
      <c r="D27" s="108"/>
    </row>
  </sheetData>
  <sheetProtection algorithmName="SHA-512" hashValue="TFSYAA1xhrx1sgBacRmannXeOjLEwUWfR+waDUCojWkygc2/fqvsM/F2nWDz2fTJ3iHdXamLcV6sBM75I2VKeg==" saltValue="kF/jiXM8+2Ope05iKbV2Fw==" spinCount="100000" sheet="1" objects="1" scenarios="1"/>
  <mergeCells count="5">
    <mergeCell ref="M2:O2"/>
    <mergeCell ref="M4:O4"/>
    <mergeCell ref="M9:O9"/>
    <mergeCell ref="I8:K9"/>
    <mergeCell ref="M14:O15"/>
  </mergeCells>
  <conditionalFormatting sqref="C16:G16">
    <cfRule type="expression" dxfId="7" priority="1">
      <formula>C16="Not Eligible"</formula>
    </cfRule>
    <cfRule type="expression" dxfId="6" priority="2">
      <formula>C16="Eligible"</formula>
    </cfRule>
  </conditionalFormatting>
  <dataValidations count="3">
    <dataValidation type="list" allowBlank="1" showInputMessage="1" showErrorMessage="1" sqref="C4" xr:uid="{620B4F74-6D1F-4703-9B62-10B12748F6F6}">
      <formula1>"Commercial Comprehensive, SCORE Plus"</formula1>
    </dataValidation>
    <dataValidation type="list" allowBlank="1" showInputMessage="1" showErrorMessage="1" sqref="C10:G10" xr:uid="{DA922E48-8F9F-4AA1-A9EF-130FC512CC89}">
      <formula1>$I$4:$I$7</formula1>
    </dataValidation>
    <dataValidation type="list" allowBlank="1" showInputMessage="1" showErrorMessage="1" sqref="C9:G9" xr:uid="{37B0FB24-9650-440F-866F-AEC7C8C1DE51}">
      <formula1>"Boiler Based, Steam Generator"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CB715-FF39-4436-84CC-935AC8CB2B2B}">
  <dimension ref="B2:O24"/>
  <sheetViews>
    <sheetView workbookViewId="0"/>
  </sheetViews>
  <sheetFormatPr defaultRowHeight="15" x14ac:dyDescent="0.25"/>
  <cols>
    <col min="1" max="1" width="3.7109375" style="10" customWidth="1"/>
    <col min="2" max="2" width="30.7109375" style="1" customWidth="1"/>
    <col min="3" max="7" width="30.7109375" style="3" customWidth="1"/>
    <col min="8" max="8" width="3.7109375" style="10" customWidth="1"/>
    <col min="9" max="9" width="12.7109375" style="10" customWidth="1"/>
    <col min="10" max="11" width="14.7109375" style="10" customWidth="1"/>
    <col min="12" max="12" width="3.7109375" style="10" customWidth="1"/>
    <col min="13" max="15" width="12.7109375" style="10" customWidth="1"/>
    <col min="16" max="16384" width="9.140625" style="10"/>
  </cols>
  <sheetData>
    <row r="2" spans="2:15" x14ac:dyDescent="0.25">
      <c r="B2" s="65" t="s">
        <v>9</v>
      </c>
      <c r="I2" s="55" t="s">
        <v>163</v>
      </c>
      <c r="M2" s="254" t="s">
        <v>170</v>
      </c>
      <c r="N2" s="254"/>
      <c r="O2" s="254"/>
    </row>
    <row r="3" spans="2:15" ht="15.75" thickBot="1" x14ac:dyDescent="0.3">
      <c r="I3" s="15" t="s">
        <v>10</v>
      </c>
      <c r="J3" s="15" t="s">
        <v>182</v>
      </c>
      <c r="K3" s="15" t="s">
        <v>169</v>
      </c>
      <c r="M3" s="15" t="s">
        <v>10</v>
      </c>
      <c r="N3" s="15" t="s">
        <v>150</v>
      </c>
      <c r="O3" s="15" t="s">
        <v>151</v>
      </c>
    </row>
    <row r="4" spans="2:15" ht="15.75" thickBot="1" x14ac:dyDescent="0.3">
      <c r="B4" s="2" t="s">
        <v>14</v>
      </c>
      <c r="C4" s="9"/>
      <c r="I4" s="14" t="s">
        <v>156</v>
      </c>
      <c r="J4" s="5" t="s">
        <v>183</v>
      </c>
      <c r="K4" s="5" t="s">
        <v>186</v>
      </c>
      <c r="M4" s="14" t="s">
        <v>156</v>
      </c>
      <c r="N4" s="5">
        <v>1215</v>
      </c>
      <c r="O4" s="6">
        <v>0.20399999999999999</v>
      </c>
    </row>
    <row r="5" spans="2:15" ht="15.75" thickBot="1" x14ac:dyDescent="0.3">
      <c r="B5" s="2"/>
      <c r="I5" s="14" t="s">
        <v>177</v>
      </c>
      <c r="J5" s="5" t="s">
        <v>185</v>
      </c>
      <c r="K5" s="5" t="s">
        <v>187</v>
      </c>
      <c r="M5" s="14" t="s">
        <v>177</v>
      </c>
      <c r="N5" s="5">
        <v>2770</v>
      </c>
      <c r="O5" s="6">
        <v>0.46600000000000003</v>
      </c>
    </row>
    <row r="6" spans="2:15" x14ac:dyDescent="0.25">
      <c r="B6" s="2" t="s">
        <v>15</v>
      </c>
      <c r="C6" s="46"/>
      <c r="D6" s="47"/>
      <c r="E6" s="47"/>
      <c r="F6" s="47"/>
      <c r="G6" s="48"/>
      <c r="I6" s="14" t="s">
        <v>157</v>
      </c>
      <c r="J6" s="5" t="s">
        <v>184</v>
      </c>
      <c r="K6" s="5" t="s">
        <v>188</v>
      </c>
      <c r="M6" s="14" t="s">
        <v>157</v>
      </c>
      <c r="N6" s="5">
        <v>4832</v>
      </c>
      <c r="O6" s="6">
        <v>0.81200000000000006</v>
      </c>
    </row>
    <row r="7" spans="2:15" ht="15" customHeight="1" x14ac:dyDescent="0.25">
      <c r="B7" s="2" t="s">
        <v>138</v>
      </c>
      <c r="C7" s="49"/>
      <c r="D7" s="50"/>
      <c r="E7" s="50"/>
      <c r="F7" s="50"/>
      <c r="G7" s="51"/>
      <c r="I7" s="255" t="s">
        <v>303</v>
      </c>
      <c r="J7" s="255"/>
      <c r="K7" s="255"/>
      <c r="M7" s="255" t="s">
        <v>304</v>
      </c>
      <c r="N7" s="255"/>
      <c r="O7" s="255"/>
    </row>
    <row r="8" spans="2:15" x14ac:dyDescent="0.25">
      <c r="B8" s="2" t="s">
        <v>127</v>
      </c>
      <c r="C8" s="86"/>
      <c r="D8" s="87"/>
      <c r="E8" s="87"/>
      <c r="F8" s="87"/>
      <c r="G8" s="88"/>
      <c r="I8" s="255"/>
      <c r="J8" s="255"/>
      <c r="K8" s="255"/>
      <c r="M8" s="255"/>
      <c r="N8" s="255"/>
      <c r="O8" s="255"/>
    </row>
    <row r="9" spans="2:15" x14ac:dyDescent="0.25">
      <c r="B9" s="2" t="s">
        <v>190</v>
      </c>
      <c r="C9" s="110"/>
      <c r="D9" s="111"/>
      <c r="E9" s="111"/>
      <c r="F9" s="111"/>
      <c r="G9" s="112"/>
      <c r="M9" s="255"/>
      <c r="N9" s="255"/>
      <c r="O9" s="255"/>
    </row>
    <row r="10" spans="2:15" ht="15.75" thickBot="1" x14ac:dyDescent="0.3">
      <c r="B10" s="2" t="s">
        <v>158</v>
      </c>
      <c r="C10" s="102"/>
      <c r="D10" s="103"/>
      <c r="E10" s="103"/>
      <c r="F10" s="103"/>
      <c r="G10" s="104"/>
    </row>
    <row r="11" spans="2:15" x14ac:dyDescent="0.25">
      <c r="B11" s="2" t="s">
        <v>189</v>
      </c>
      <c r="C11" s="113" t="str">
        <f>IF(C9="","Enter Volume",IF(C9&lt;13,"Half-size",IF(AND(C9&gt;=13,C9&lt;28),"3/4-size",IF(C9&gt;=28,"Full-size","Error"))))</f>
        <v>Enter Volume</v>
      </c>
      <c r="D11" s="114" t="str">
        <f t="shared" ref="D11:G11" si="0">IF(D9="","Enter Volume",IF(D9&lt;13,"Half-size",IF(AND(D9&gt;=13,D9&lt;28),"3/4-size",IF(D9&gt;=28,"Full-size","Error"))))</f>
        <v>Enter Volume</v>
      </c>
      <c r="E11" s="114" t="str">
        <f t="shared" si="0"/>
        <v>Enter Volume</v>
      </c>
      <c r="F11" s="114" t="str">
        <f t="shared" si="0"/>
        <v>Enter Volume</v>
      </c>
      <c r="G11" s="115" t="str">
        <f t="shared" si="0"/>
        <v>Enter Volume</v>
      </c>
    </row>
    <row r="12" spans="2:15" ht="15.75" thickBot="1" x14ac:dyDescent="0.3">
      <c r="B12" s="2" t="s">
        <v>145</v>
      </c>
      <c r="C12" s="116">
        <f>IF(C11="Half-size",21.5*C9,IF(C11="3/4-size",2*C9+254,IF(C11="Full-size",3.8*C9+203.5,0)))</f>
        <v>0</v>
      </c>
      <c r="D12" s="117">
        <f t="shared" ref="D12:G12" si="1">IF(D11="Half-size",21.5*D9,IF(D11="3/4-size",2*D9+254,IF(D11="Full-size",3.8*D9+203.5,0)))</f>
        <v>0</v>
      </c>
      <c r="E12" s="117">
        <f t="shared" si="1"/>
        <v>0</v>
      </c>
      <c r="F12" s="117">
        <f t="shared" si="1"/>
        <v>0</v>
      </c>
      <c r="G12" s="118">
        <f t="shared" si="1"/>
        <v>0</v>
      </c>
    </row>
    <row r="13" spans="2:15" ht="15.75" thickBot="1" x14ac:dyDescent="0.3">
      <c r="B13" s="2"/>
    </row>
    <row r="14" spans="2:15" ht="15.75" thickBot="1" x14ac:dyDescent="0.3">
      <c r="B14" s="2" t="s">
        <v>154</v>
      </c>
      <c r="C14" s="119" t="str">
        <f>IFERROR(IF(OR($C$4="",C6="",C7="",C8="",C9="",C10=""),"Enter equipment specs",IF(AND(C10&lt;=C12),"Eligible","Not Eligible")),"Not Eligible")</f>
        <v>Enter equipment specs</v>
      </c>
      <c r="D14" s="120" t="str">
        <f t="shared" ref="D14:G14" si="2">IFERROR(IF(OR($C$4="",D6="",D7="",D8="",D9="",D10=""),"Enter equipment specs",IF(AND(D10&lt;=D12),"Eligible","Not Eligible")),"Not Eligible")</f>
        <v>Enter equipment specs</v>
      </c>
      <c r="E14" s="120" t="str">
        <f t="shared" si="2"/>
        <v>Enter equipment specs</v>
      </c>
      <c r="F14" s="120" t="str">
        <f t="shared" si="2"/>
        <v>Enter equipment specs</v>
      </c>
      <c r="G14" s="121" t="str">
        <f t="shared" si="2"/>
        <v>Enter equipment specs</v>
      </c>
    </row>
    <row r="15" spans="2:15" ht="15.75" thickBot="1" x14ac:dyDescent="0.3">
      <c r="B15" s="2"/>
    </row>
    <row r="16" spans="2:15" s="55" customFormat="1" x14ac:dyDescent="0.25">
      <c r="B16" s="2" t="s">
        <v>18</v>
      </c>
      <c r="C16" s="52">
        <f>IF(C14="Eligible",VLOOKUP(C11,$M$4:$O$6,3,FALSE)*C8,0)</f>
        <v>0</v>
      </c>
      <c r="D16" s="53">
        <f t="shared" ref="D16:G16" si="3">IF(D14="Eligible",VLOOKUP(D11,$M$4:$O$6,3,FALSE)*D8,0)</f>
        <v>0</v>
      </c>
      <c r="E16" s="53">
        <f t="shared" si="3"/>
        <v>0</v>
      </c>
      <c r="F16" s="53">
        <f t="shared" si="3"/>
        <v>0</v>
      </c>
      <c r="G16" s="54">
        <f t="shared" si="3"/>
        <v>0</v>
      </c>
    </row>
    <row r="17" spans="2:7" s="55" customFormat="1" x14ac:dyDescent="0.25">
      <c r="B17" s="2" t="s">
        <v>17</v>
      </c>
      <c r="C17" s="56">
        <f>IF(C14="Eligible",VLOOKUP(C11,$M$4:$O$6,2,FALSE)*C8,0)</f>
        <v>0</v>
      </c>
      <c r="D17" s="57">
        <f t="shared" ref="D17:G17" si="4">IF(D14="Eligible",VLOOKUP(D11,$M$4:$O$6,2,FALSE)*D8,0)</f>
        <v>0</v>
      </c>
      <c r="E17" s="57">
        <f t="shared" si="4"/>
        <v>0</v>
      </c>
      <c r="F17" s="57">
        <f t="shared" si="4"/>
        <v>0</v>
      </c>
      <c r="G17" s="58">
        <f t="shared" si="4"/>
        <v>0</v>
      </c>
    </row>
    <row r="18" spans="2:7" s="55" customFormat="1" x14ac:dyDescent="0.25">
      <c r="B18" s="2" t="s">
        <v>132</v>
      </c>
      <c r="C18" s="59">
        <f>IF(C14&lt;&gt;"Eligible",0,IF($C$4="Commercial Comprehensive",C8*VLOOKUP(C11,$B$22:$C$24,2,FALSE),IF($C$4="SCORE Plus",C17*0.12,0)))</f>
        <v>0</v>
      </c>
      <c r="D18" s="60">
        <f t="shared" ref="D18:G18" si="5">IF(D14&lt;&gt;"Eligible",0,IF($C$4="Commercial Comprehensive",D8*VLOOKUP(D11,$B$22:$C$24,2,FALSE),IF($C$4="SCORE Plus",D17*0.12,0)))</f>
        <v>0</v>
      </c>
      <c r="E18" s="60">
        <f t="shared" si="5"/>
        <v>0</v>
      </c>
      <c r="F18" s="60">
        <f t="shared" si="5"/>
        <v>0</v>
      </c>
      <c r="G18" s="61">
        <f t="shared" si="5"/>
        <v>0</v>
      </c>
    </row>
    <row r="19" spans="2:7" s="55" customFormat="1" ht="15.75" thickBot="1" x14ac:dyDescent="0.3">
      <c r="B19" s="2" t="s">
        <v>90</v>
      </c>
      <c r="C19" s="62">
        <f>Summary!$F$15</f>
        <v>12</v>
      </c>
      <c r="D19" s="63">
        <f>Summary!$F$15</f>
        <v>12</v>
      </c>
      <c r="E19" s="63">
        <f>Summary!$F$15</f>
        <v>12</v>
      </c>
      <c r="F19" s="63">
        <f>Summary!$F$15</f>
        <v>12</v>
      </c>
      <c r="G19" s="64">
        <f>Summary!$F$15</f>
        <v>12</v>
      </c>
    </row>
    <row r="20" spans="2:7" x14ac:dyDescent="0.25">
      <c r="B20" s="2"/>
    </row>
    <row r="21" spans="2:7" hidden="1" x14ac:dyDescent="0.25">
      <c r="B21" s="65" t="s">
        <v>160</v>
      </c>
    </row>
    <row r="22" spans="2:7" hidden="1" x14ac:dyDescent="0.25">
      <c r="B22" s="1" t="s">
        <v>156</v>
      </c>
      <c r="C22" s="108">
        <v>175</v>
      </c>
    </row>
    <row r="23" spans="2:7" hidden="1" x14ac:dyDescent="0.25">
      <c r="B23" s="1" t="s">
        <v>177</v>
      </c>
      <c r="C23" s="108">
        <v>325</v>
      </c>
    </row>
    <row r="24" spans="2:7" hidden="1" x14ac:dyDescent="0.25">
      <c r="B24" s="1" t="s">
        <v>157</v>
      </c>
      <c r="C24" s="108">
        <v>550</v>
      </c>
    </row>
  </sheetData>
  <sheetProtection algorithmName="SHA-512" hashValue="hV0r/+Zfxf+7ndrX6ctC/M8/NKZvNY9a0JFDQQJhoRAeS4KfmAJ2moi3BYEG+TTo6phykceWxu1HCQLZiwpxXw==" saltValue="hy3buXzQTHXAffBxROWPzQ==" spinCount="100000" sheet="1" objects="1" scenarios="1"/>
  <mergeCells count="3">
    <mergeCell ref="M2:O2"/>
    <mergeCell ref="I7:K8"/>
    <mergeCell ref="M7:O9"/>
  </mergeCells>
  <conditionalFormatting sqref="C14:G14">
    <cfRule type="expression" dxfId="5" priority="1">
      <formula>C14="Not Eligible"</formula>
    </cfRule>
    <cfRule type="expression" dxfId="4" priority="2">
      <formula>C14="Eligible"</formula>
    </cfRule>
  </conditionalFormatting>
  <dataValidations count="1">
    <dataValidation type="list" allowBlank="1" showInputMessage="1" showErrorMessage="1" sqref="C4" xr:uid="{4A85DD8C-D437-4996-B89C-2CE38F797204}">
      <formula1>"Commercial Comprehensive, SCORE Plus"</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C0D04-5CEA-4E6C-AFCF-E31E9C32ED94}">
  <dimension ref="B1:AK34"/>
  <sheetViews>
    <sheetView workbookViewId="0"/>
  </sheetViews>
  <sheetFormatPr defaultRowHeight="15" x14ac:dyDescent="0.25"/>
  <cols>
    <col min="1" max="1" width="3.7109375" style="10" customWidth="1"/>
    <col min="2" max="2" width="30.7109375" style="1" customWidth="1"/>
    <col min="3" max="7" width="30.7109375" style="3" customWidth="1"/>
    <col min="8" max="8" width="3.7109375" style="10" customWidth="1"/>
    <col min="9" max="9" width="29" style="10" bestFit="1" customWidth="1"/>
    <col min="10" max="10" width="3.7109375" style="10" customWidth="1"/>
    <col min="11" max="11" width="25.7109375" style="10" customWidth="1"/>
    <col min="12" max="12" width="15.7109375" style="10" customWidth="1"/>
    <col min="13" max="14" width="20.7109375" style="10" customWidth="1"/>
    <col min="15" max="15" width="3.7109375" style="10" customWidth="1"/>
    <col min="16" max="16" width="44.28515625" style="10" hidden="1" customWidth="1"/>
    <col min="17" max="18" width="10.7109375" style="10" hidden="1" customWidth="1"/>
    <col min="19" max="19" width="20.7109375" style="10" hidden="1" customWidth="1"/>
    <col min="20" max="21" width="10.7109375" style="10" hidden="1" customWidth="1"/>
    <col min="22" max="22" width="20.7109375" style="10" hidden="1" customWidth="1"/>
    <col min="23" max="37" width="25.7109375" style="10" hidden="1" customWidth="1"/>
    <col min="38" max="16384" width="9.140625" style="10"/>
  </cols>
  <sheetData>
    <row r="1" spans="2:37" ht="15.75" thickBot="1" x14ac:dyDescent="0.3"/>
    <row r="2" spans="2:37" x14ac:dyDescent="0.25">
      <c r="B2" s="65" t="s">
        <v>12</v>
      </c>
      <c r="I2" s="55" t="s">
        <v>229</v>
      </c>
      <c r="J2" s="55"/>
      <c r="K2" s="55" t="s">
        <v>163</v>
      </c>
      <c r="P2" s="258" t="s">
        <v>13</v>
      </c>
      <c r="Q2" s="264" t="s">
        <v>218</v>
      </c>
      <c r="R2" s="264" t="s">
        <v>217</v>
      </c>
      <c r="S2" s="280" t="s">
        <v>215</v>
      </c>
      <c r="T2" s="264" t="s">
        <v>218</v>
      </c>
      <c r="U2" s="264" t="s">
        <v>217</v>
      </c>
      <c r="V2" s="281" t="s">
        <v>216</v>
      </c>
      <c r="W2" s="259" t="s">
        <v>201</v>
      </c>
      <c r="X2" s="260"/>
      <c r="Y2" s="261"/>
      <c r="Z2" s="262" t="s">
        <v>205</v>
      </c>
      <c r="AA2" s="256"/>
      <c r="AB2" s="263"/>
      <c r="AC2" s="283" t="s">
        <v>204</v>
      </c>
      <c r="AD2" s="284"/>
      <c r="AE2" s="285"/>
      <c r="AF2" s="262" t="s">
        <v>203</v>
      </c>
      <c r="AG2" s="256"/>
      <c r="AH2" s="263"/>
      <c r="AI2" s="277" t="s">
        <v>202</v>
      </c>
      <c r="AJ2" s="278"/>
      <c r="AK2" s="279"/>
    </row>
    <row r="3" spans="2:37" ht="15.75" thickBot="1" x14ac:dyDescent="0.3">
      <c r="I3" s="10" t="s">
        <v>192</v>
      </c>
      <c r="K3" s="15" t="s">
        <v>30</v>
      </c>
      <c r="L3" s="15" t="s">
        <v>21</v>
      </c>
      <c r="M3" s="15" t="s">
        <v>228</v>
      </c>
      <c r="N3" s="15" t="s">
        <v>214</v>
      </c>
      <c r="P3" s="258"/>
      <c r="Q3" s="265"/>
      <c r="R3" s="265"/>
      <c r="S3" s="265"/>
      <c r="T3" s="265"/>
      <c r="U3" s="265"/>
      <c r="V3" s="282"/>
      <c r="W3" s="182" t="s">
        <v>213</v>
      </c>
      <c r="X3" s="72" t="s">
        <v>214</v>
      </c>
      <c r="Y3" s="183" t="s">
        <v>200</v>
      </c>
      <c r="Z3" s="72" t="s">
        <v>213</v>
      </c>
      <c r="AA3" s="72" t="s">
        <v>214</v>
      </c>
      <c r="AB3" s="71" t="s">
        <v>200</v>
      </c>
      <c r="AC3" s="190" t="s">
        <v>213</v>
      </c>
      <c r="AD3" s="72" t="s">
        <v>214</v>
      </c>
      <c r="AE3" s="191" t="s">
        <v>200</v>
      </c>
      <c r="AF3" s="72" t="s">
        <v>213</v>
      </c>
      <c r="AG3" s="72" t="s">
        <v>214</v>
      </c>
      <c r="AH3" s="71" t="s">
        <v>200</v>
      </c>
      <c r="AI3" s="197" t="s">
        <v>213</v>
      </c>
      <c r="AJ3" s="72" t="s">
        <v>214</v>
      </c>
      <c r="AK3" s="198" t="s">
        <v>200</v>
      </c>
    </row>
    <row r="4" spans="2:37" ht="15.75" thickBot="1" x14ac:dyDescent="0.3">
      <c r="B4" s="2" t="s">
        <v>14</v>
      </c>
      <c r="C4" s="9"/>
      <c r="I4" s="10" t="s">
        <v>193</v>
      </c>
      <c r="K4" s="273" t="s">
        <v>23</v>
      </c>
      <c r="L4" s="179" t="s">
        <v>22</v>
      </c>
      <c r="M4" s="179" t="s">
        <v>231</v>
      </c>
      <c r="N4" s="179" t="s">
        <v>249</v>
      </c>
      <c r="P4" s="11" t="str">
        <f>_xlfn.CONCAT($P$27,"_",$P$33)</f>
        <v>IMH_Batch</v>
      </c>
      <c r="Q4" s="131">
        <v>0</v>
      </c>
      <c r="R4" s="131">
        <v>299</v>
      </c>
      <c r="S4" s="12" t="s">
        <v>22</v>
      </c>
      <c r="T4" s="131">
        <v>0</v>
      </c>
      <c r="U4" s="131">
        <v>299</v>
      </c>
      <c r="V4" s="180" t="s">
        <v>22</v>
      </c>
      <c r="W4" s="184">
        <f>IF(AND(_xlfn.CONCAT($C$9,"_",$C$10)=$P$4,$C$11&gt;=$Q$4,$C$11&lt;=$R$4),10-0.01233*$C$11,0)</f>
        <v>0</v>
      </c>
      <c r="X4" s="132">
        <f>IF(AND(_xlfn.CONCAT($C$9,"_",$C$10)=$P$4,$C$11&gt;=$T$4,$C$11&lt;=$U$4),9.2-0.01134*$C$11,0)</f>
        <v>0</v>
      </c>
      <c r="Y4" s="185">
        <f>IF(AND(_xlfn.CONCAT($C$9,"_",$C$10)=$P$4,$C$11&gt;=$T$4,$C$11&lt;=$U$4),20,0)</f>
        <v>0</v>
      </c>
      <c r="Z4" s="181">
        <f>IF(AND(_xlfn.CONCAT($D$9,"_",$D$10)=$P$4,$D$11&gt;=$Q$4,$D$11&lt;=$R$4),10-0.01233*$D$11,0)</f>
        <v>0</v>
      </c>
      <c r="AA4" s="132">
        <f>IF(AND(_xlfn.CONCAT($D$9,"_",$D$10)=$P$4,$D$11&gt;=$T$4,$D$11&lt;=$U$4),9.2-0.01134*$D$11,0)</f>
        <v>0</v>
      </c>
      <c r="AB4" s="189">
        <f>IF(AND(_xlfn.CONCAT($D$9,"_",$D$10)=$P$4,$D$11&gt;=$T$4,$D$11&lt;=$U$4),20,0)</f>
        <v>0</v>
      </c>
      <c r="AC4" s="192">
        <f>IF(AND(_xlfn.CONCAT($E$9,"_",$E$10)=$P$4,$E$11&gt;=$Q$4,$E$11&lt;=$R$4),10-0.01233*$E$11,0)</f>
        <v>0</v>
      </c>
      <c r="AD4" s="132">
        <f>IF(AND(_xlfn.CONCAT($E$9,"_",$E$10)=$P$4,$E$11&gt;=$T$4,$E$11&lt;=$U$4),9.2-0.01134*$E$11,0)</f>
        <v>0</v>
      </c>
      <c r="AE4" s="193">
        <f>IF(AND(_xlfn.CONCAT($E$9,"_",$E$10)=$P$4,$E$11&gt;=$T$4,$E$11&lt;=$U$4),20,0)</f>
        <v>0</v>
      </c>
      <c r="AF4" s="181">
        <f>IF(AND(_xlfn.CONCAT($F$9,"_",$F$10)=$P$4,$F$11&gt;=$Q$4,$F$11&lt;=$R$4),10-0.01233*$F$11,0)</f>
        <v>0</v>
      </c>
      <c r="AG4" s="132">
        <f>IF(AND(_xlfn.CONCAT($F$9,"_",$F$10)=$P$4,$F$11&gt;=$T$4,$F$11&lt;=$U$4),9.2-0.01134*$F$11,0)</f>
        <v>0</v>
      </c>
      <c r="AH4" s="189">
        <f>IF(AND(_xlfn.CONCAT($F$9,"_",$F$10)=$P$4,$F$11&gt;=$T$4,$F$11&lt;=$U$4),20,0)</f>
        <v>0</v>
      </c>
      <c r="AI4" s="199">
        <f>IF(AND(_xlfn.CONCAT($G$9,"_",$G$10)=$P$4,$G$11&gt;=$Q$4,$G$11&lt;=$R$4),10-0.01233*$G$11,0)</f>
        <v>0</v>
      </c>
      <c r="AJ4" s="132">
        <f>IF(AND(_xlfn.CONCAT($G$9,"_",$G$10)=$P$4,$G$11&gt;=$T$4,$G$11&lt;=$U$4),9.2-0.01134*$G$11,0)</f>
        <v>0</v>
      </c>
      <c r="AK4" s="200">
        <f>IF(AND(_xlfn.CONCAT($G$9,"_",$G$10)=$P$4,$G$11&gt;=$T$4,$G$11&lt;=$U$4),20,0)</f>
        <v>0</v>
      </c>
    </row>
    <row r="5" spans="2:37" ht="15.75" thickBot="1" x14ac:dyDescent="0.3">
      <c r="B5" s="2"/>
      <c r="I5" s="10" t="s">
        <v>194</v>
      </c>
      <c r="K5" s="273"/>
      <c r="L5" s="179" t="s">
        <v>92</v>
      </c>
      <c r="M5" s="179" t="s">
        <v>232</v>
      </c>
      <c r="N5" s="179" t="s">
        <v>250</v>
      </c>
      <c r="P5" s="11" t="str">
        <f>_xlfn.CONCAT($P$27,"_",$P$33)</f>
        <v>IMH_Batch</v>
      </c>
      <c r="Q5" s="131">
        <v>300</v>
      </c>
      <c r="R5" s="131">
        <v>799</v>
      </c>
      <c r="S5" s="12" t="s">
        <v>92</v>
      </c>
      <c r="T5" s="131">
        <v>300</v>
      </c>
      <c r="U5" s="131">
        <v>799</v>
      </c>
      <c r="V5" s="180" t="s">
        <v>92</v>
      </c>
      <c r="W5" s="184">
        <f>IF(AND(_xlfn.CONCAT($C$9,"_",$C$10)=$P$5,$C$11&gt;=$Q$5,$C$11&lt;=$R$5),7.05-0.0025*$C$11,0)</f>
        <v>0</v>
      </c>
      <c r="X5" s="132">
        <f>IF(AND(_xlfn.CONCAT($C$9,"_",$C$10)=$P$5,$C$11&gt;=$T$5,$C$11&lt;=$U$5),6.49-0.0023*$C$11,0)</f>
        <v>0</v>
      </c>
      <c r="Y5" s="185">
        <f>IF(AND(_xlfn.CONCAT($C$9,"_",$C$10)=$P$5,$C$11&gt;=$T$5,$C$11&lt;=$U$5),20,0)</f>
        <v>0</v>
      </c>
      <c r="Z5" s="181">
        <f>IF(AND(_xlfn.CONCAT($D$9,"_",$D$10)=$P$5,$D$11&gt;=$Q$5,$D$11&lt;=$R$5),7.05-0.0025*$D$11,0)</f>
        <v>0</v>
      </c>
      <c r="AA5" s="132">
        <f>IF(AND(_xlfn.CONCAT($D$9,"_",$D$10)=$P$5,$D$11&gt;=$T$5,$D$11&lt;=$U$5),6.49-0.0023*$D$11,0)</f>
        <v>0</v>
      </c>
      <c r="AB5" s="189">
        <f>IF(AND(_xlfn.CONCAT($D$9,"_",$D$10)=$P$5,$D$11&gt;=$T$5,$D$11&lt;=$U$5),20,0)</f>
        <v>0</v>
      </c>
      <c r="AC5" s="192">
        <f>IF(AND(_xlfn.CONCAT($E$9,"_",$E$10)=$P$5,$E$11&gt;=$Q$5,$E$11&lt;=$R$5),7.05-0.0025*$E$11,0)</f>
        <v>0</v>
      </c>
      <c r="AD5" s="132">
        <f>IF(AND(_xlfn.CONCAT($E$9,"_",$E$10)=$P$5,$E$11&gt;=$T$5,$E$11&lt;=$U$5),6.49-0.0023*$E$11,0)</f>
        <v>0</v>
      </c>
      <c r="AE5" s="193">
        <f>IF(AND(_xlfn.CONCAT($E$9,"_",$E$10)=$P$5,$E$11&gt;=$T$5,$E$11&lt;=$U$5),20,0)</f>
        <v>0</v>
      </c>
      <c r="AF5" s="181">
        <f>IF(AND(_xlfn.CONCAT($F$9,"_",$F$10)=$P$5,$F$11&gt;=$Q$5,$F$11&lt;=$R$5),7.05-0.0025*$F$11,0)</f>
        <v>0</v>
      </c>
      <c r="AG5" s="132">
        <f>IF(AND(_xlfn.CONCAT($F$9,"_",$F$10)=$P$5,$F$11&gt;=$T$5,$F$11&lt;=$U$5),6.49-0.0023*$F$11,0)</f>
        <v>0</v>
      </c>
      <c r="AH5" s="189">
        <f>IF(AND(_xlfn.CONCAT($F$9,"_",$F$10)=$P$5,$F$11&gt;=$T$5,$F$11&lt;=$U$5),20,0)</f>
        <v>0</v>
      </c>
      <c r="AI5" s="199">
        <f>IF(AND(_xlfn.CONCAT($G$9,"_",$G$10)=$P$5,$G$11&gt;=$Q$5,$G$11&lt;=$R$5),7.05-0.0025*$G$11,0)</f>
        <v>0</v>
      </c>
      <c r="AJ5" s="132">
        <f>IF(AND(_xlfn.CONCAT($G$9,"_",$G$10)=$P$5,$G$11&gt;=$T$5,$G$11&lt;=$U$5),6.49-0.0023*$G$11,0)</f>
        <v>0</v>
      </c>
      <c r="AK5" s="200">
        <f>IF(AND(_xlfn.CONCAT($G$9,"_",$G$10)=$P$5,$G$11&gt;=$T$5,$G$11&lt;=$U$5),20,0)</f>
        <v>0</v>
      </c>
    </row>
    <row r="6" spans="2:37" x14ac:dyDescent="0.25">
      <c r="B6" s="2" t="s">
        <v>15</v>
      </c>
      <c r="C6" s="46"/>
      <c r="D6" s="47"/>
      <c r="E6" s="47"/>
      <c r="F6" s="47"/>
      <c r="G6" s="48"/>
      <c r="I6" s="10" t="s">
        <v>230</v>
      </c>
      <c r="K6" s="273"/>
      <c r="L6" s="179" t="s">
        <v>91</v>
      </c>
      <c r="M6" s="179" t="s">
        <v>233</v>
      </c>
      <c r="N6" s="179" t="s">
        <v>251</v>
      </c>
      <c r="P6" s="11" t="str">
        <f>_xlfn.CONCAT($P$27,"_",$P$33)</f>
        <v>IMH_Batch</v>
      </c>
      <c r="Q6" s="131">
        <v>800</v>
      </c>
      <c r="R6" s="131">
        <v>1499</v>
      </c>
      <c r="S6" s="12" t="s">
        <v>206</v>
      </c>
      <c r="T6" s="131">
        <v>800</v>
      </c>
      <c r="U6" s="131">
        <v>1499</v>
      </c>
      <c r="V6" s="180" t="s">
        <v>206</v>
      </c>
      <c r="W6" s="184">
        <f>IF(AND(_xlfn.CONCAT($C$9,"_",$C$10)=$P$6,$C$11&gt;=$Q$6,$C$11&lt;=$R$6),5.55-0.00063*$C$11,0)</f>
        <v>0</v>
      </c>
      <c r="X6" s="132">
        <f>IF(AND(_xlfn.CONCAT($C$9,"_",$C$10)=$P$6,$C$11&gt;=$T$6,$C$11&lt;=$U$6),5.11-0.00058*$C$11,0)</f>
        <v>0</v>
      </c>
      <c r="Y6" s="185">
        <f>IF(AND(_xlfn.CONCAT($C$9,"_",$C$10)=$P$6,$C$11&gt;=$T$6,$C$11&lt;=$U$6),20,0)</f>
        <v>0</v>
      </c>
      <c r="Z6" s="181">
        <f>IF(AND(_xlfn.CONCAT($D$9,"_",$D$10)=$P$6,$D$11&gt;=$Q$6,$D$11&lt;=$R$6),5.55-0.00063*$D$11,0)</f>
        <v>0</v>
      </c>
      <c r="AA6" s="132">
        <f>IF(AND(_xlfn.CONCAT($D$9,"_",$D$10)=$P$6,$D$11&gt;=$T$6,$D$11&lt;=$U$6),5.11-0.00058*$D$11,0)</f>
        <v>0</v>
      </c>
      <c r="AB6" s="189">
        <f>IF(AND(_xlfn.CONCAT($D$9,"_",$D$10)=$P$6,$D$11&gt;=$T$6,$D$11&lt;=$U$6),20,0)</f>
        <v>0</v>
      </c>
      <c r="AC6" s="192">
        <f>IF(AND(_xlfn.CONCAT($E$9,"_",$E$10)=$P$6,$E$11&gt;=$Q$6,$E$11&lt;=$R$6),5.55-0.00063*$E$11,0)</f>
        <v>0</v>
      </c>
      <c r="AD6" s="132">
        <f>IF(AND(_xlfn.CONCAT($E$9,"_",$E$10)=$P$6,$E$11&gt;=$T$6,$E$11&lt;=$U$6),5.11-0.00058*$E$11,0)</f>
        <v>0</v>
      </c>
      <c r="AE6" s="193">
        <f>IF(AND(_xlfn.CONCAT($E$9,"_",$E$10)=$P$6,$E$11&gt;=$T$6,$E$11&lt;=$U$6),20,0)</f>
        <v>0</v>
      </c>
      <c r="AF6" s="181">
        <f>IF(AND(_xlfn.CONCAT($F$9,"_",$F$10)=$P$6,$F$11&gt;=$Q$6,$F$11&lt;=$R$6),5.55-0.00063*$F$11,0)</f>
        <v>0</v>
      </c>
      <c r="AG6" s="132">
        <f>IF(AND(_xlfn.CONCAT($F$9,"_",$F$10)=$P$6,$F$11&gt;=$T$6,$F$11&lt;=$U$6),5.11-0.00058*$F$11,0)</f>
        <v>0</v>
      </c>
      <c r="AH6" s="189">
        <f>IF(AND(_xlfn.CONCAT($F$9,"_",$F$10)=$P$6,$F$11&gt;=$T$6,$F$11&lt;=$U$6),20,0)</f>
        <v>0</v>
      </c>
      <c r="AI6" s="199">
        <f>IF(AND(_xlfn.CONCAT($G$9,"_",$G$10)=$P$6,$G$11&gt;=$Q$6,$G$11&lt;=$R$6),5.55-0.00063*$G$11,0)</f>
        <v>0</v>
      </c>
      <c r="AJ6" s="132">
        <f>IF(AND(_xlfn.CONCAT($G$9,"_",$G$10)=$P$6,$G$11&gt;=$T$6,$G$11&lt;=$U$6),5.11-0.00058*$G$11,0)</f>
        <v>0</v>
      </c>
      <c r="AK6" s="200">
        <f>IF(AND(_xlfn.CONCAT($G$9,"_",$G$10)=$P$6,$G$11&gt;=$T$6,$G$11&lt;=$U$6),20,0)</f>
        <v>0</v>
      </c>
    </row>
    <row r="7" spans="2:37" x14ac:dyDescent="0.25">
      <c r="B7" s="2" t="s">
        <v>138</v>
      </c>
      <c r="C7" s="49"/>
      <c r="D7" s="50"/>
      <c r="E7" s="50"/>
      <c r="F7" s="50"/>
      <c r="G7" s="51"/>
      <c r="K7" s="273"/>
      <c r="L7" s="179" t="s">
        <v>256</v>
      </c>
      <c r="M7" s="179">
        <v>4.6100000000000003</v>
      </c>
      <c r="N7" s="179">
        <v>4.24</v>
      </c>
      <c r="P7" s="11" t="str">
        <f>_xlfn.CONCAT($P$27,"_",$P$33)</f>
        <v>IMH_Batch</v>
      </c>
      <c r="Q7" s="131">
        <v>1500</v>
      </c>
      <c r="R7" s="131">
        <v>4000</v>
      </c>
      <c r="S7" s="12" t="s">
        <v>225</v>
      </c>
      <c r="T7" s="131">
        <v>1500</v>
      </c>
      <c r="U7" s="131">
        <v>4000</v>
      </c>
      <c r="V7" s="180" t="s">
        <v>207</v>
      </c>
      <c r="W7" s="184">
        <f>IF(AND(_xlfn.CONCAT($C$9,"_",$C$10)=$P$7,$C$11&gt;=$Q$7,$C$11&lt;=$R$7),4.61,0)</f>
        <v>0</v>
      </c>
      <c r="X7" s="132">
        <f>IF(AND(_xlfn.CONCAT($C$9,"_",$C$10)=$P$7,$C$11&gt;=$T$7,$C$11&lt;=$U$7),4.24,0)</f>
        <v>0</v>
      </c>
      <c r="Y7" s="185">
        <f>IF(AND(_xlfn.CONCAT($C$9,"_",$C$10)=$P$7,$C$11&gt;=$T$7,$C$11&lt;=$U$7),20,0)</f>
        <v>0</v>
      </c>
      <c r="Z7" s="181">
        <f>IF(AND(_xlfn.CONCAT($D$9,"_",$D$10)=$P$7,$D$11&gt;=$Q$7,$D$11&lt;=$R$7),4.61,0)</f>
        <v>0</v>
      </c>
      <c r="AA7" s="132">
        <f>IF(AND(_xlfn.CONCAT($D$9,"_",$D$10)=$P$7,$D$11&gt;=$T$7,$D$11&lt;=$U$7),4.24,0)</f>
        <v>0</v>
      </c>
      <c r="AB7" s="189">
        <f>IF(AND(_xlfn.CONCAT($D$9,"_",$D$10)=$P$7,$D$11&gt;=$T$7,$D$11&lt;=$U$7),20,0)</f>
        <v>0</v>
      </c>
      <c r="AC7" s="192">
        <f>IF(AND(_xlfn.CONCAT($E$9,"_",$E$10)=$P$7,$E$11&gt;=$Q$7,$E$11&lt;=$R$7),4.61,0)</f>
        <v>0</v>
      </c>
      <c r="AD7" s="132">
        <f>IF(AND(_xlfn.CONCAT($E$9,"_",$E$10)=$P$7,$E$11&gt;=$T$7,$E$11&lt;=$U$7),4.24,0)</f>
        <v>0</v>
      </c>
      <c r="AE7" s="193">
        <f>IF(AND(_xlfn.CONCAT($E$9,"_",$E$10)=$P$7,$E$11&gt;=$T$7,$E$11&lt;=$U$7),20,0)</f>
        <v>0</v>
      </c>
      <c r="AF7" s="181">
        <f>IF(AND(_xlfn.CONCAT($F$9,"_",$F$10)=$P$7,$F$11&gt;=$Q$7,$F$11&lt;=$R$7),4.61,0)</f>
        <v>0</v>
      </c>
      <c r="AG7" s="132">
        <f>IF(AND(_xlfn.CONCAT($F$9,"_",$F$10)=$P$7,$F$11&gt;=$T$7,$F$11&lt;=$U$7),4.24,0)</f>
        <v>0</v>
      </c>
      <c r="AH7" s="189">
        <f>IF(AND(_xlfn.CONCAT($F$9,"_",$F$10)=$P$7,$F$11&gt;=$T$7,$F$11&lt;=$U$7),20,0)</f>
        <v>0</v>
      </c>
      <c r="AI7" s="199">
        <f>IF(AND(_xlfn.CONCAT($G$9,"_",$G$10)=$P$7,$G$11&gt;=$Q$7,$G$11&lt;=$R$7),4.61,0)</f>
        <v>0</v>
      </c>
      <c r="AJ7" s="132">
        <f>IF(AND(_xlfn.CONCAT($G$9,"_",$G$10)=$P$7,$G$11&gt;=$T$7,$G$11&lt;=$U$7),4.24,0)</f>
        <v>0</v>
      </c>
      <c r="AK7" s="200">
        <f>IF(AND(_xlfn.CONCAT($G$9,"_",$G$10)=$P$7,$G$11&gt;=$T$7,$G$11&lt;=$U$7),20,0)</f>
        <v>0</v>
      </c>
    </row>
    <row r="8" spans="2:37" x14ac:dyDescent="0.25">
      <c r="B8" s="2" t="s">
        <v>127</v>
      </c>
      <c r="C8" s="86"/>
      <c r="D8" s="87"/>
      <c r="E8" s="87"/>
      <c r="F8" s="87"/>
      <c r="G8" s="88"/>
      <c r="K8" s="266" t="s">
        <v>27</v>
      </c>
      <c r="L8" s="179" t="s">
        <v>24</v>
      </c>
      <c r="M8" s="179" t="s">
        <v>234</v>
      </c>
      <c r="N8" s="179" t="s">
        <v>235</v>
      </c>
      <c r="P8" s="11" t="str">
        <f>_xlfn.CONCAT($P$28,"_",$P$33)</f>
        <v>RCU (No Remote Compressor)_Batch</v>
      </c>
      <c r="Q8" s="131">
        <v>0</v>
      </c>
      <c r="R8" s="131">
        <v>987</v>
      </c>
      <c r="S8" s="12" t="s">
        <v>24</v>
      </c>
      <c r="T8" s="131">
        <v>0</v>
      </c>
      <c r="U8" s="131">
        <v>987</v>
      </c>
      <c r="V8" s="180" t="s">
        <v>24</v>
      </c>
      <c r="W8" s="184">
        <f>IF(AND(_xlfn.CONCAT($C$9,"_",$C$10)=$P$8,$C$11&gt;=$Q$8,$C$11&lt;=$R$8),7.97-0.00342*$C$11,0)</f>
        <v>0</v>
      </c>
      <c r="X8" s="132">
        <f>IF(AND(_xlfn.CONCAT($C$9,"_",$C$10)=$P$8,$C$11&gt;=$T$8,$C$11&lt;=$U$8),7.17-0.00308*$C$11,0)</f>
        <v>0</v>
      </c>
      <c r="Y8" s="185">
        <f>IF(AND(_xlfn.CONCAT($C$9,"_",$C$10)=$P$8,$C$11&gt;=$T$8,$C$11&lt;=$U$8),20,0)</f>
        <v>0</v>
      </c>
      <c r="Z8" s="181">
        <f>IF(AND(_xlfn.CONCAT($D$9,"_",$D$10)=$P$8,$D$11&gt;=$Q$8,$D$11&lt;=$R$8),7.97-0.00342*$D$11,0)</f>
        <v>0</v>
      </c>
      <c r="AA8" s="132">
        <f>IF(AND(_xlfn.CONCAT($D$9,"_",$D$10)=$P$8,$D$11&gt;=$T$8,$D$11&lt;=$U$8),7.17-0.00308*$D$11,0)</f>
        <v>0</v>
      </c>
      <c r="AB8" s="189">
        <f>IF(AND(_xlfn.CONCAT($D$9,"_",$D$10)=$P$8,$D$11&gt;=$T$8,$D$11&lt;=$U$8),20,0)</f>
        <v>0</v>
      </c>
      <c r="AC8" s="192">
        <f>IF(AND(_xlfn.CONCAT($E$9,"_",$E$10)=$P$8,$E$11&gt;=$Q$8,$E$11&lt;=$R$8),7.97-0.00342*$E$11,0)</f>
        <v>0</v>
      </c>
      <c r="AD8" s="132">
        <f>IF(AND(_xlfn.CONCAT($E$9,"_",$E$10)=$P$8,$E$11&gt;=$T$8,$E$11&lt;=$U$8),7.17-0.00308*$E$11,0)</f>
        <v>0</v>
      </c>
      <c r="AE8" s="193">
        <f>IF(AND(_xlfn.CONCAT($E$9,"_",$E$10)=$P$8,$E$11&gt;=$T$8,$E$11&lt;=$U$8),20,0)</f>
        <v>0</v>
      </c>
      <c r="AF8" s="181">
        <f>IF(AND(_xlfn.CONCAT($F$9,"_",$F$10)=$P$8,$F$11&gt;=$Q$8,$F$11&lt;=$R$8),7.97-0.00342*$F$11,0)</f>
        <v>0</v>
      </c>
      <c r="AG8" s="132">
        <f>IF(AND(_xlfn.CONCAT($F$9,"_",$F$10)=$P$8,$F$11&gt;=$T$8,$F$11&lt;=$U$8),7.17-0.00308*$F$11,0)</f>
        <v>0</v>
      </c>
      <c r="AH8" s="189">
        <f>IF(AND(_xlfn.CONCAT($F$9,"_",$F$10)=$P$8,$F$11&gt;=$T$8,$F$11&lt;=$U$8),20,0)</f>
        <v>0</v>
      </c>
      <c r="AI8" s="199">
        <f>IF(AND(_xlfn.CONCAT($G$9,"_",$G$10)=$P$8,$G$11&gt;=$Q$8,$G$11&lt;=$R$8),7.97-0.00342*$G$11,0)</f>
        <v>0</v>
      </c>
      <c r="AJ8" s="132">
        <f>IF(AND(_xlfn.CONCAT($G$9,"_",$G$10)=$P$8,$G$11&gt;=$T$8,$G$11&lt;=$U$8),7.17-0.00308*$G$11,0)</f>
        <v>0</v>
      </c>
      <c r="AK8" s="200">
        <f>IF(AND(_xlfn.CONCAT($G$9,"_",$G$10)=$P$8,$G$11&gt;=$T$8,$G$11&lt;=$U$8),20,0)</f>
        <v>0</v>
      </c>
    </row>
    <row r="9" spans="2:37" x14ac:dyDescent="0.25">
      <c r="B9" s="2" t="s">
        <v>16</v>
      </c>
      <c r="C9" s="49"/>
      <c r="D9" s="50"/>
      <c r="E9" s="50"/>
      <c r="F9" s="50"/>
      <c r="G9" s="51"/>
      <c r="K9" s="267"/>
      <c r="L9" s="179" t="s">
        <v>255</v>
      </c>
      <c r="M9" s="179">
        <v>4.59</v>
      </c>
      <c r="N9" s="179">
        <v>4.13</v>
      </c>
      <c r="P9" s="11" t="str">
        <f>_xlfn.CONCAT($P$28,"_",$P$33)</f>
        <v>RCU (No Remote Compressor)_Batch</v>
      </c>
      <c r="Q9" s="131">
        <v>988</v>
      </c>
      <c r="R9" s="131">
        <v>4000</v>
      </c>
      <c r="S9" s="12" t="s">
        <v>224</v>
      </c>
      <c r="T9" s="131">
        <v>988</v>
      </c>
      <c r="U9" s="131">
        <v>4000</v>
      </c>
      <c r="V9" s="180" t="s">
        <v>208</v>
      </c>
      <c r="W9" s="184">
        <f>IF(AND(_xlfn.CONCAT($C$9,"_",$C$10)=$P$9,$C$11&gt;=$Q$9,$C$11&lt;=$R$9),4.59,0)</f>
        <v>0</v>
      </c>
      <c r="X9" s="132">
        <f>IF(AND(_xlfn.CONCAT($C$9,"_",$C$10)=$P$9,$C$11&gt;=$T$9,$C$11&lt;=$U$9),4.13,0)</f>
        <v>0</v>
      </c>
      <c r="Y9" s="185">
        <f>IF(AND(_xlfn.CONCAT($C$9,"_",$C$10)=$P$9,$C$11&gt;=$T$9,$C$11&lt;=$U$9),20,0)</f>
        <v>0</v>
      </c>
      <c r="Z9" s="181">
        <f>IF(AND(_xlfn.CONCAT($D$9,"_",$D$10)=$P$9,$D$11&gt;=$Q$9,$D$11&lt;=$R$9),4.59,0)</f>
        <v>0</v>
      </c>
      <c r="AA9" s="132">
        <f>IF(AND(_xlfn.CONCAT($D$9,"_",$D$10)=$P$9,$D$11&gt;=$T$9,$D$11&lt;=$U$9),4.13,0)</f>
        <v>0</v>
      </c>
      <c r="AB9" s="189">
        <f>IF(AND(_xlfn.CONCAT($D$9,"_",$D$10)=$P$9,$D$11&gt;=$T$9,$D$11&lt;=$U$9),20,0)</f>
        <v>0</v>
      </c>
      <c r="AC9" s="192">
        <f>IF(AND(_xlfn.CONCAT($E$9,"_",$E$10)=$P$9,$E$11&gt;=$Q$9,$E$11&lt;=$R$9),4.59,0)</f>
        <v>0</v>
      </c>
      <c r="AD9" s="132">
        <f>IF(AND(_xlfn.CONCAT($E$9,"_",$E$10)=$P$9,$E$11&gt;=$T$9,$E$11&lt;=$U$9),4.13,0)</f>
        <v>0</v>
      </c>
      <c r="AE9" s="193">
        <f>IF(AND(_xlfn.CONCAT($E$9,"_",$E$10)=$P$9,$E$11&gt;=$T$9,$E$11&lt;=$U$9),20,0)</f>
        <v>0</v>
      </c>
      <c r="AF9" s="181">
        <f>IF(AND(_xlfn.CONCAT($F$9,"_",$F$10)=$P$9,$F$11&gt;=$Q$9,$F$11&lt;=$R$9),4.59,0)</f>
        <v>0</v>
      </c>
      <c r="AG9" s="132">
        <f>IF(AND(_xlfn.CONCAT($F$9,"_",$F$10)=$P$9,$F$11&gt;=$T$9,$F$11&lt;=$U$9),4.13,0)</f>
        <v>0</v>
      </c>
      <c r="AH9" s="189">
        <f>IF(AND(_xlfn.CONCAT($F$9,"_",$F$10)=$P$9,$F$11&gt;=$T$9,$F$11&lt;=$U$9),20,0)</f>
        <v>0</v>
      </c>
      <c r="AI9" s="199">
        <f>IF(AND(_xlfn.CONCAT($G$9,"_",$G$10)=$P$9,$G$11&gt;=$Q$9,$G$11&lt;=$R$9),4.59,0)</f>
        <v>0</v>
      </c>
      <c r="AJ9" s="132">
        <f>IF(AND(_xlfn.CONCAT($G$9,"_",$G$10)=$P$9,$G$11&gt;=$T$9,$G$11&lt;=$U$9),4.13,0)</f>
        <v>0</v>
      </c>
      <c r="AK9" s="200">
        <f>IF(AND(_xlfn.CONCAT($G$9,"_",$G$10)=$P$9,$G$11&gt;=$T$9,$G$11&lt;=$U$9),20,0)</f>
        <v>0</v>
      </c>
    </row>
    <row r="10" spans="2:37" x14ac:dyDescent="0.25">
      <c r="B10" s="2" t="s">
        <v>195</v>
      </c>
      <c r="C10" s="73"/>
      <c r="D10" s="74"/>
      <c r="E10" s="74"/>
      <c r="F10" s="74"/>
      <c r="G10" s="75"/>
      <c r="K10" s="266" t="s">
        <v>28</v>
      </c>
      <c r="L10" s="179" t="s">
        <v>25</v>
      </c>
      <c r="M10" s="179" t="s">
        <v>234</v>
      </c>
      <c r="N10" s="179" t="s">
        <v>235</v>
      </c>
      <c r="P10" s="11" t="str">
        <f>_xlfn.CONCAT($P$29,"_",$P$33)</f>
        <v>RCU (Remote Compressor)_Batch</v>
      </c>
      <c r="Q10" s="131">
        <v>0</v>
      </c>
      <c r="R10" s="131">
        <v>929</v>
      </c>
      <c r="S10" s="12" t="s">
        <v>25</v>
      </c>
      <c r="T10" s="131">
        <v>0</v>
      </c>
      <c r="U10" s="131">
        <v>987</v>
      </c>
      <c r="V10" s="180" t="s">
        <v>24</v>
      </c>
      <c r="W10" s="184">
        <f>IF(AND(_xlfn.CONCAT($C$9,"_",$C$10)=$P$10,$C$11&gt;=$Q$10,$C$11&lt;=$R$10),7.97-0.00342*$C$11,0)</f>
        <v>0</v>
      </c>
      <c r="X10" s="132">
        <f>IF(AND(_xlfn.CONCAT($C$9,"_",$C$10)=$P$10,$C$11&gt;=$T$10,$C$11&lt;=$U$10),7.17-0.00308*$C$11,0)</f>
        <v>0</v>
      </c>
      <c r="Y10" s="185">
        <f>IF(AND(_xlfn.CONCAT($C$9,"_",$C$10)=$P$10,$C$11&gt;=$T$10,$C$11&lt;=$U$10),20,0)</f>
        <v>0</v>
      </c>
      <c r="Z10" s="181">
        <f>IF(AND(_xlfn.CONCAT($D$9,"_",$D$10)=$P$10,$D$11&gt;=$Q$10,$D$11&lt;=$R$10),7.97-0.00342*$D$11,0)</f>
        <v>0</v>
      </c>
      <c r="AA10" s="132">
        <f>IF(AND(_xlfn.CONCAT($D$9,"_",$D$10)=$P$10,$D$11&gt;=$T$10,$D$11&lt;=$U$10),7.17-0.00308*$D$11,0)</f>
        <v>0</v>
      </c>
      <c r="AB10" s="189">
        <f>IF(AND(_xlfn.CONCAT($D$9,"_",$D$10)=$P$10,$D$11&gt;=$T$10,$D$11&lt;=$U$10),20,0)</f>
        <v>0</v>
      </c>
      <c r="AC10" s="192">
        <f>IF(AND(_xlfn.CONCAT($E$9,"_",$E$10)=$P$10,$E$11&gt;=$Q$10,$E$11&lt;=$R$10),7.97-0.00342*$E$11,0)</f>
        <v>0</v>
      </c>
      <c r="AD10" s="132">
        <f>IF(AND(_xlfn.CONCAT($E$9,"_",$E$10)=$P$10,$E$11&gt;=$T$10,$E$11&lt;=$U$10),7.17-0.00308*$E$11,0)</f>
        <v>0</v>
      </c>
      <c r="AE10" s="193">
        <f>IF(AND(_xlfn.CONCAT($E$9,"_",$E$10)=$P$10,$E$11&gt;=$T$10,$E$11&lt;=$U$10),20,0)</f>
        <v>0</v>
      </c>
      <c r="AF10" s="181">
        <f>IF(AND(_xlfn.CONCAT($F$9,"_",$F$10)=$P$10,$F$11&gt;=$Q$10,$F$11&lt;=$R$10),7.97-0.00342*$F$11,0)</f>
        <v>0</v>
      </c>
      <c r="AG10" s="132">
        <f>IF(AND(_xlfn.CONCAT($F$9,"_",$F$10)=$P$10,$F$11&gt;=$T$10,$F$11&lt;=$U$10),7.17-0.00308*$F$11,0)</f>
        <v>0</v>
      </c>
      <c r="AH10" s="189">
        <f>IF(AND(_xlfn.CONCAT($F$9,"_",$F$10)=$P$10,$F$11&gt;=$T$10,$F$11&lt;=$U$10),20,0)</f>
        <v>0</v>
      </c>
      <c r="AI10" s="199">
        <f>IF(AND(_xlfn.CONCAT($G$9,"_",$G$10)=$P$10,$G$11&gt;=$Q$10,$G$11&lt;=$R$10),7.97-0.00342*$G$11,0)</f>
        <v>0</v>
      </c>
      <c r="AJ10" s="132">
        <f>IF(AND(_xlfn.CONCAT($G$9,"_",$G$10)=$P$10,$G$11&gt;=$T$10,$G$11&lt;=$U$10),7.17-0.00308*$G$11,0)</f>
        <v>0</v>
      </c>
      <c r="AK10" s="200">
        <f>IF(AND(_xlfn.CONCAT($G$9,"_",$G$10)=$P$10,$G$11&gt;=$T$10,$G$11&lt;=$U$10),20,0)</f>
        <v>0</v>
      </c>
    </row>
    <row r="11" spans="2:37" x14ac:dyDescent="0.25">
      <c r="B11" s="2" t="s">
        <v>197</v>
      </c>
      <c r="C11" s="102"/>
      <c r="D11" s="103"/>
      <c r="E11" s="103"/>
      <c r="F11" s="103"/>
      <c r="G11" s="104"/>
      <c r="K11" s="267"/>
      <c r="L11" s="179" t="s">
        <v>257</v>
      </c>
      <c r="M11" s="179">
        <v>4.79</v>
      </c>
      <c r="N11" s="179">
        <v>4.13</v>
      </c>
      <c r="P11" s="11" t="str">
        <f>_xlfn.CONCAT($P$29,"_",$P$33)</f>
        <v>RCU (Remote Compressor)_Batch</v>
      </c>
      <c r="Q11" s="131">
        <v>930</v>
      </c>
      <c r="R11" s="131">
        <v>4000</v>
      </c>
      <c r="S11" s="12" t="s">
        <v>223</v>
      </c>
      <c r="T11" s="131">
        <v>988</v>
      </c>
      <c r="U11" s="131">
        <v>4000</v>
      </c>
      <c r="V11" s="180" t="s">
        <v>208</v>
      </c>
      <c r="W11" s="184">
        <f>IF(AND(_xlfn.CONCAT($C$9,"_",$C$10)=$P$11,$C$11&gt;=$Q$11,$C$11&lt;=$R$11),4.79,0)</f>
        <v>0</v>
      </c>
      <c r="X11" s="132">
        <f>IF(AND(_xlfn.CONCAT($C$9,"_",$C$10)=$P$11,$C$11&gt;=$T$11,$C$11&lt;=$U$11),4.13,0)</f>
        <v>0</v>
      </c>
      <c r="Y11" s="185">
        <f>IF(AND(_xlfn.CONCAT($C$9,"_",$C$10)=$P$11,$C$11&gt;=$T$11,$C$11&lt;=$U$11),20,0)</f>
        <v>0</v>
      </c>
      <c r="Z11" s="181">
        <f>IF(AND(_xlfn.CONCAT($D$9,"_",$D$10)=$P$11,$D$11&gt;=$Q$11,$D$11&lt;=$R$11),4.79,0)</f>
        <v>0</v>
      </c>
      <c r="AA11" s="132">
        <f>IF(AND(_xlfn.CONCAT($D$9,"_",$D$10)=$P$11,$D$11&gt;=$T$11,$D$11&lt;=$U$11),4.13,0)</f>
        <v>0</v>
      </c>
      <c r="AB11" s="189">
        <f>IF(AND(_xlfn.CONCAT($D$9,"_",$D$10)=$P$11,$D$11&gt;=$T$11,$D$11&lt;=$U$11),20,0)</f>
        <v>0</v>
      </c>
      <c r="AC11" s="192">
        <f>IF(AND(_xlfn.CONCAT($E$9,"_",$E$10)=$P$11,$E$11&gt;=$Q$11,$E$11&lt;=$R$11),4.79,0)</f>
        <v>0</v>
      </c>
      <c r="AD11" s="132">
        <f>IF(AND(_xlfn.CONCAT($E$9,"_",$E$10)=$P$11,$E$11&gt;=$T$11,$E$11&lt;=$U$11),4.13,0)</f>
        <v>0</v>
      </c>
      <c r="AE11" s="193">
        <f>IF(AND(_xlfn.CONCAT($E$9,"_",$E$10)=$P$11,$E$11&gt;=$T$11,$E$11&lt;=$U$11),20,0)</f>
        <v>0</v>
      </c>
      <c r="AF11" s="181">
        <f>IF(AND(_xlfn.CONCAT($F$9,"_",$F$10)=$P$11,$F$11&gt;=$Q$11,$F$11&lt;=$R$11),4.79,0)</f>
        <v>0</v>
      </c>
      <c r="AG11" s="132">
        <f>IF(AND(_xlfn.CONCAT($F$9,"_",$F$10)=$P$11,$F$11&gt;=$T$11,$F$11&lt;=$U$11),4.13,0)</f>
        <v>0</v>
      </c>
      <c r="AH11" s="189">
        <f>IF(AND(_xlfn.CONCAT($F$9,"_",$F$10)=$P$11,$F$11&gt;=$T$11,$F$11&lt;=$U$11),20,0)</f>
        <v>0</v>
      </c>
      <c r="AI11" s="199">
        <f>IF(AND(_xlfn.CONCAT($G$9,"_",$G$10)=$P$11,$G$11&gt;=$Q$11,$G$11&lt;=$R$11),4.79,0)</f>
        <v>0</v>
      </c>
      <c r="AJ11" s="132">
        <f>IF(AND(_xlfn.CONCAT($G$9,"_",$G$10)=$P$11,$G$11&gt;=$T$11,$G$11&lt;=$U$11),4.13,0)</f>
        <v>0</v>
      </c>
      <c r="AK11" s="200">
        <f>IF(AND(_xlfn.CONCAT($G$9,"_",$G$10)=$P$11,$G$11&gt;=$T$11,$G$11&lt;=$U$11),20,0)</f>
        <v>0</v>
      </c>
    </row>
    <row r="12" spans="2:37" x14ac:dyDescent="0.25">
      <c r="B12" s="2" t="s">
        <v>196</v>
      </c>
      <c r="C12" s="122"/>
      <c r="D12" s="123"/>
      <c r="E12" s="123"/>
      <c r="F12" s="123"/>
      <c r="G12" s="124"/>
      <c r="K12" s="274" t="s">
        <v>29</v>
      </c>
      <c r="L12" s="179" t="s">
        <v>38</v>
      </c>
      <c r="M12" s="179" t="s">
        <v>236</v>
      </c>
      <c r="N12" s="179" t="s">
        <v>252</v>
      </c>
      <c r="P12" s="11" t="str">
        <f>_xlfn.CONCAT($P$30,"_",$P$33)</f>
        <v>SCU_Batch</v>
      </c>
      <c r="Q12" s="131">
        <v>0</v>
      </c>
      <c r="R12" s="131">
        <v>109</v>
      </c>
      <c r="S12" s="12" t="s">
        <v>38</v>
      </c>
      <c r="T12" s="131">
        <v>0</v>
      </c>
      <c r="U12" s="131">
        <v>109</v>
      </c>
      <c r="V12" s="180" t="s">
        <v>38</v>
      </c>
      <c r="W12" s="184">
        <f>IF(AND(_xlfn.CONCAT($C$9,"_",$C$10)=$P$12,$C$11&gt;=$Q$12,$C$11&lt;=$R$12),14.79-0.0469*$C$11,0)</f>
        <v>0</v>
      </c>
      <c r="X12" s="132">
        <f>IF(AND(_xlfn.CONCAT($C$9,"_",$C$10)=$P$12,$C$11&gt;=$T$12,$C$11&lt;=$U$12),12.57-0.0399*$C$11,0)</f>
        <v>0</v>
      </c>
      <c r="Y12" s="185">
        <f>IF(AND(_xlfn.CONCAT($C$9,"_",$C$10)=$P$12,$C$11&gt;=$T$12,$C$11&lt;=$U$12),25,0)</f>
        <v>0</v>
      </c>
      <c r="Z12" s="181">
        <f>IF(AND(_xlfn.CONCAT($D$9,"_",$D$10)=$P$12,$D$11&gt;=$Q$12,$D$11&lt;=$R$12),14.79-0.0469*$D$11,0)</f>
        <v>0</v>
      </c>
      <c r="AA12" s="132">
        <f>IF(AND(_xlfn.CONCAT($D$9,"_",$D$10)=$P$12,$D$11&gt;=$T$12,$D$11&lt;=$U$12),12.57-0.0399*$D$11,0)</f>
        <v>0</v>
      </c>
      <c r="AB12" s="189">
        <f>IF(AND(_xlfn.CONCAT($D$9,"_",$D$10)=$P$12,$D$11&gt;=$T$12,$D$11&lt;=$U$12),25,0)</f>
        <v>0</v>
      </c>
      <c r="AC12" s="192">
        <f>IF(AND(_xlfn.CONCAT($E$9,"_",$E$10)=$P$12,$E$11&gt;=$Q$12,$E$11&lt;=$R$12),14.79-0.0469*$E$11,0)</f>
        <v>0</v>
      </c>
      <c r="AD12" s="132">
        <f>IF(AND(_xlfn.CONCAT($E$9,"_",$E$10)=$P$12,$E$11&gt;=$T$12,$E$11&lt;=$U$12),12.57-0.0399*$E$11,0)</f>
        <v>0</v>
      </c>
      <c r="AE12" s="193">
        <f>IF(AND(_xlfn.CONCAT($E$9,"_",$E$10)=$P$12,$E$11&gt;=$T$12,$E$11&lt;=$U$12),25,0)</f>
        <v>0</v>
      </c>
      <c r="AF12" s="181">
        <f>IF(AND(_xlfn.CONCAT($F$9,"_",$F$10)=$P$12,$F$11&gt;=$Q$12,$F$11&lt;=$R$12),14.79-0.0469*$F$11,0)</f>
        <v>0</v>
      </c>
      <c r="AG12" s="132">
        <f>IF(AND(_xlfn.CONCAT($F$9,"_",$F$10)=$P$12,$F$11&gt;=$T$12,$F$11&lt;=$U$12),12.57-0.0399*$F$11,0)</f>
        <v>0</v>
      </c>
      <c r="AH12" s="189">
        <f>IF(AND(_xlfn.CONCAT($F$9,"_",$F$10)=$P$12,$F$11&gt;=$T$12,$F$11&lt;=$U$12),25,0)</f>
        <v>0</v>
      </c>
      <c r="AI12" s="199">
        <f>IF(AND(_xlfn.CONCAT($G$9,"_",$G$10)=$P$12,$G$11&gt;=$Q$12,$G$11&lt;=$R$12),14.79-0.0469*$G$11,0)</f>
        <v>0</v>
      </c>
      <c r="AJ12" s="132">
        <f>IF(AND(_xlfn.CONCAT($G$9,"_",$G$10)=$P$12,$G$11&gt;=$T$12,$G$11&lt;=$U$12),12.57-0.0399*$G$11,0)</f>
        <v>0</v>
      </c>
      <c r="AK12" s="200">
        <f>IF(AND(_xlfn.CONCAT($G$9,"_",$G$10)=$P$12,$G$11&gt;=$T$12,$G$11&lt;=$U$12),25,0)</f>
        <v>0</v>
      </c>
    </row>
    <row r="13" spans="2:37" ht="15.75" thickBot="1" x14ac:dyDescent="0.3">
      <c r="B13" s="2" t="s">
        <v>198</v>
      </c>
      <c r="C13" s="125"/>
      <c r="D13" s="126"/>
      <c r="E13" s="126"/>
      <c r="F13" s="126"/>
      <c r="G13" s="127"/>
      <c r="K13" s="275"/>
      <c r="L13" s="179" t="s">
        <v>93</v>
      </c>
      <c r="M13" s="179" t="s">
        <v>237</v>
      </c>
      <c r="N13" s="179" t="s">
        <v>253</v>
      </c>
      <c r="P13" s="11" t="str">
        <f>_xlfn.CONCAT($P$30,"_",$P$33)</f>
        <v>SCU_Batch</v>
      </c>
      <c r="Q13" s="131">
        <v>110</v>
      </c>
      <c r="R13" s="131">
        <v>199</v>
      </c>
      <c r="S13" s="12" t="s">
        <v>93</v>
      </c>
      <c r="T13" s="131">
        <v>110</v>
      </c>
      <c r="U13" s="131">
        <v>199</v>
      </c>
      <c r="V13" s="180" t="s">
        <v>93</v>
      </c>
      <c r="W13" s="184">
        <f>IF(AND(_xlfn.CONCAT($C$9,"_",$C$10)=$P$13,$C$11&gt;=$Q$13,$C$11&lt;=$R$13),12.42-0.02533*$C$11,0)</f>
        <v>0</v>
      </c>
      <c r="X13" s="132">
        <f>IF(AND(_xlfn.CONCAT($C$9,"_",$C$10)=$P$13,$C$11&gt;=$T$13,$C$11&lt;=$U$13),10.56-0.0215*$C$11,0)</f>
        <v>0</v>
      </c>
      <c r="Y13" s="185">
        <f>IF(AND(_xlfn.CONCAT($C$9,"_",$C$10)=$P$13,$C$11&gt;=$T$13,$C$11&lt;=$U$13),25,0)</f>
        <v>0</v>
      </c>
      <c r="Z13" s="181">
        <f>IF(AND(_xlfn.CONCAT($D$9,"_",$D$10)=$P$13,$D$11&gt;=$Q$13,$D$11&lt;=$R$13),12.42-0.02533*$D$11,0)</f>
        <v>0</v>
      </c>
      <c r="AA13" s="132">
        <f>IF(AND(_xlfn.CONCAT($D$9,"_",$D$10)=$P$13,$D$11&gt;=$T$13,$D$11&lt;=$U$13),10.56-0.0215*$D$11,0)</f>
        <v>0</v>
      </c>
      <c r="AB13" s="189">
        <f>IF(AND(_xlfn.CONCAT($D$9,"_",$D$10)=$P$13,$D$11&gt;=$T$13,$D$11&lt;=$U$13),25,0)</f>
        <v>0</v>
      </c>
      <c r="AC13" s="192">
        <f>IF(AND(_xlfn.CONCAT($E$9,"_",$E$10)=$P$13,$E$11&gt;=$Q$13,$E$11&lt;=$R$13),12.42-0.02533*$E$11,0)</f>
        <v>0</v>
      </c>
      <c r="AD13" s="132">
        <f>IF(AND(_xlfn.CONCAT($E$9,"_",$E$10)=$P$13,$E$11&gt;=$T$13,$E$11&lt;=$U$13),10.56-0.0215*$E$11,0)</f>
        <v>0</v>
      </c>
      <c r="AE13" s="193">
        <f>IF(AND(_xlfn.CONCAT($E$9,"_",$E$10)=$P$13,$E$11&gt;=$T$13,$E$11&lt;=$U$13),25,0)</f>
        <v>0</v>
      </c>
      <c r="AF13" s="181">
        <f>IF(AND(_xlfn.CONCAT($F$9,"_",$F$10)=$P$13,$F$11&gt;=$Q$13,$F$11&lt;=$R$13),12.42-0.02533*$F$11,0)</f>
        <v>0</v>
      </c>
      <c r="AG13" s="132">
        <f>IF(AND(_xlfn.CONCAT($F$9,"_",$F$10)=$P$13,$F$11&gt;=$T$13,$F$11&lt;=$U$13),10.56-0.0215*$F$11,0)</f>
        <v>0</v>
      </c>
      <c r="AH13" s="189">
        <f>IF(AND(_xlfn.CONCAT($F$9,"_",$F$10)=$P$13,$F$11&gt;=$T$13,$F$11&lt;=$U$13),25,0)</f>
        <v>0</v>
      </c>
      <c r="AI13" s="199">
        <f>IF(AND(_xlfn.CONCAT($G$9,"_",$G$10)=$P$13,$G$11&gt;=$Q$13,$G$11&lt;=$R$13),12.42-0.02533*$G$11,0)</f>
        <v>0</v>
      </c>
      <c r="AJ13" s="132">
        <f>IF(AND(_xlfn.CONCAT($G$9,"_",$G$10)=$P$13,$G$11&gt;=$T$13,$G$11&lt;=$U$13),10.56-0.0215*$G$11,0)</f>
        <v>0</v>
      </c>
      <c r="AK13" s="200">
        <f>IF(AND(_xlfn.CONCAT($G$9,"_",$G$10)=$P$13,$G$11&gt;=$T$13,$G$11&lt;=$U$13),25,0)</f>
        <v>0</v>
      </c>
    </row>
    <row r="14" spans="2:37" x14ac:dyDescent="0.25">
      <c r="B14" s="2" t="s">
        <v>226</v>
      </c>
      <c r="C14" s="136">
        <f>MAX(W4:W24)</f>
        <v>0</v>
      </c>
      <c r="D14" s="137">
        <f>MAX(Z4:Z24)</f>
        <v>0</v>
      </c>
      <c r="E14" s="137">
        <f>MAX(AC4:AC24)</f>
        <v>0</v>
      </c>
      <c r="F14" s="137">
        <f>MAX(AF4:AF24)</f>
        <v>0</v>
      </c>
      <c r="G14" s="138">
        <f>MAX(AI4:AI24)</f>
        <v>0</v>
      </c>
      <c r="I14" s="55"/>
      <c r="J14" s="55"/>
      <c r="K14" s="276"/>
      <c r="L14" s="179" t="s">
        <v>258</v>
      </c>
      <c r="M14" s="179">
        <v>7.35</v>
      </c>
      <c r="N14" s="179">
        <v>6.25</v>
      </c>
      <c r="O14" s="55"/>
      <c r="P14" s="11" t="str">
        <f>_xlfn.CONCAT($P$30,"_",$P$33)</f>
        <v>SCU_Batch</v>
      </c>
      <c r="Q14" s="131">
        <v>200</v>
      </c>
      <c r="R14" s="131">
        <v>4000</v>
      </c>
      <c r="S14" s="12" t="s">
        <v>222</v>
      </c>
      <c r="T14" s="131">
        <v>200</v>
      </c>
      <c r="U14" s="131">
        <v>4000</v>
      </c>
      <c r="V14" s="180" t="s">
        <v>209</v>
      </c>
      <c r="W14" s="184">
        <f>IF(AND(_xlfn.CONCAT($C$9,"_",$C$10)=$P$14,$C$11&gt;=$Q$14,$C$11&lt;=$R$14),7.35,0)</f>
        <v>0</v>
      </c>
      <c r="X14" s="132">
        <f>IF(AND(_xlfn.CONCAT($C$9,"_",$C$10)=$P$14,$C$11&gt;=$T$14,$C$11&lt;=$U$14),6.25,0)</f>
        <v>0</v>
      </c>
      <c r="Y14" s="185">
        <f>IF(AND(_xlfn.CONCAT($C$9,"_",$C$10)=$P$14,$C$11&gt;=$T$14,$C$11&lt;=$U$14),25,0)</f>
        <v>0</v>
      </c>
      <c r="Z14" s="181">
        <f>IF(AND(_xlfn.CONCAT($D$9,"_",$D$10)=$P$14,$D$11&gt;=$Q$14,$D$11&lt;=$R$14),7.35,0)</f>
        <v>0</v>
      </c>
      <c r="AA14" s="132">
        <f>IF(AND(_xlfn.CONCAT($D$9,"_",$D$10)=$P$14,$D$11&gt;=$T$14,$D$11&lt;=$U$14),6.25,0)</f>
        <v>0</v>
      </c>
      <c r="AB14" s="189">
        <f>IF(AND(_xlfn.CONCAT($D$9,"_",$D$10)=$P$14,$D$11&gt;=$T$14,$D$11&lt;=$U$14),25,0)</f>
        <v>0</v>
      </c>
      <c r="AC14" s="192">
        <f>IF(AND(_xlfn.CONCAT($E$9,"_",$E$10)=$P$14,$E$11&gt;=$Q$14,$E$11&lt;=$R$14),7.35,0)</f>
        <v>0</v>
      </c>
      <c r="AD14" s="132">
        <f>IF(AND(_xlfn.CONCAT($E$9,"_",$E$10)=$P$14,$E$11&gt;=$T$14,$E$11&lt;=$U$14),6.25,0)</f>
        <v>0</v>
      </c>
      <c r="AE14" s="193">
        <f>IF(AND(_xlfn.CONCAT($E$9,"_",$E$10)=$P$14,$E$11&gt;=$T$14,$E$11&lt;=$U$14),25,0)</f>
        <v>0</v>
      </c>
      <c r="AF14" s="181">
        <f>IF(AND(_xlfn.CONCAT($F$9,"_",$F$10)=$P$14,$F$11&gt;=$Q$14,$F$11&lt;=$R$14),7.35,0)</f>
        <v>0</v>
      </c>
      <c r="AG14" s="132">
        <f>IF(AND(_xlfn.CONCAT($F$9,"_",$F$10)=$P$14,$F$11&gt;=$T$14,$F$11&lt;=$U$14),6.25,0)</f>
        <v>0</v>
      </c>
      <c r="AH14" s="189">
        <f>IF(AND(_xlfn.CONCAT($F$9,"_",$F$10)=$P$14,$F$11&gt;=$T$14,$F$11&lt;=$U$14),25,0)</f>
        <v>0</v>
      </c>
      <c r="AI14" s="199">
        <f>IF(AND(_xlfn.CONCAT($G$9,"_",$G$10)=$P$14,$G$11&gt;=$Q$14,$G$11&lt;=$R$14),7.35,0)</f>
        <v>0</v>
      </c>
      <c r="AJ14" s="132">
        <f>IF(AND(_xlfn.CONCAT($G$9,"_",$G$10)=$P$14,$G$11&gt;=$T$14,$G$11&lt;=$U$14),6.25,0)</f>
        <v>0</v>
      </c>
      <c r="AK14" s="200">
        <f>IF(AND(_xlfn.CONCAT($G$9,"_",$G$10)=$P$14,$G$11&gt;=$T$14,$G$11&lt;=$U$14),25,0)</f>
        <v>0</v>
      </c>
    </row>
    <row r="15" spans="2:37" x14ac:dyDescent="0.25">
      <c r="B15" s="2" t="s">
        <v>227</v>
      </c>
      <c r="C15" s="133">
        <f>MAX(X4:X24)</f>
        <v>0</v>
      </c>
      <c r="D15" s="134">
        <f>MAX(AA4:AA24)</f>
        <v>0</v>
      </c>
      <c r="E15" s="134">
        <f>MAX(AD4:AD24)</f>
        <v>0</v>
      </c>
      <c r="F15" s="134">
        <f>MAX(AG4:AG24)</f>
        <v>0</v>
      </c>
      <c r="G15" s="135">
        <f>MAX(AJ4:AJ24)</f>
        <v>0</v>
      </c>
      <c r="I15" s="55"/>
      <c r="J15" s="55"/>
      <c r="K15" s="71" t="s">
        <v>31</v>
      </c>
      <c r="L15" s="15" t="s">
        <v>21</v>
      </c>
      <c r="M15" s="15" t="s">
        <v>228</v>
      </c>
      <c r="N15" s="15" t="s">
        <v>214</v>
      </c>
      <c r="O15" s="55"/>
      <c r="P15" s="11" t="str">
        <f>_xlfn.CONCAT($P$27,"_",$P$34)</f>
        <v>IMH_Continuous</v>
      </c>
      <c r="Q15" s="131">
        <v>0</v>
      </c>
      <c r="R15" s="131">
        <v>309</v>
      </c>
      <c r="S15" s="12" t="s">
        <v>32</v>
      </c>
      <c r="T15" s="131">
        <v>0</v>
      </c>
      <c r="U15" s="131">
        <v>309</v>
      </c>
      <c r="V15" s="180" t="s">
        <v>32</v>
      </c>
      <c r="W15" s="184">
        <f>IF(AND(_xlfn.CONCAT($C$9,"_",$C$10)=$P$15,$C$11&gt;=$Q$15,$C$11&lt;=$R$15),9.19-0.00629*$C$11,0)</f>
        <v>0</v>
      </c>
      <c r="X15" s="132">
        <f>IF(AND(_xlfn.CONCAT($C$9,"_",$C$10)=$P$15,$C$11&gt;=$T$15,$C$11&lt;=$U$15),7.9-0.005409*$C$11,0)</f>
        <v>0</v>
      </c>
      <c r="Y15" s="185">
        <f>IF(AND(_xlfn.CONCAT($C$9,"_",$C$10)=$P$15,$C$11&gt;=$T$15,$C$11&lt;=$U$15),15,0)</f>
        <v>0</v>
      </c>
      <c r="Z15" s="181">
        <f>IF(AND(_xlfn.CONCAT($D$9,"_",$D$10)=$P$15,$D$11&gt;=$Q$15,$D$11&lt;=$R$15),9.19-0.00629*$D$11,0)</f>
        <v>0</v>
      </c>
      <c r="AA15" s="132">
        <f>IF(AND(_xlfn.CONCAT($D$9,"_",$D$10)=$P$15,$D$11&gt;=$T$15,$D$11&lt;=$U$15),7.9-0.005409*$D$11,0)</f>
        <v>0</v>
      </c>
      <c r="AB15" s="189">
        <f>IF(AND(_xlfn.CONCAT($D$9,"_",$D$10)=$P$15,$D$11&gt;=$T$15,$D$11&lt;=$U$15),15,0)</f>
        <v>0</v>
      </c>
      <c r="AC15" s="192">
        <f>IF(AND(_xlfn.CONCAT($E$9,"_",$E$10)=$P$15,$E$11&gt;=$Q$15,$E$11&lt;=$R$15),9.19-0.00629*$E$11,0)</f>
        <v>0</v>
      </c>
      <c r="AD15" s="132">
        <f>IF(AND(_xlfn.CONCAT($E$9,"_",$E$10)=$P$15,$E$11&gt;=$T$15,$E$11&lt;=$U$15),7.9-0.005409*$E$11,0)</f>
        <v>0</v>
      </c>
      <c r="AE15" s="193">
        <f>IF(AND(_xlfn.CONCAT($E$9,"_",$E$10)=$P$15,$E$11&gt;=$T$15,$E$11&lt;=$U$15),15,0)</f>
        <v>0</v>
      </c>
      <c r="AF15" s="181">
        <f>IF(AND(_xlfn.CONCAT($F$9,"_",$F$10)=$P$15,$F$11&gt;=$Q$15,$F$11&lt;=$R$15),9.19-0.00629*$F$11,0)</f>
        <v>0</v>
      </c>
      <c r="AG15" s="132">
        <f>IF(AND(_xlfn.CONCAT($F$9,"_",$F$10)=$P$15,$F$11&gt;=$T$15,$F$11&lt;=$U$15),7.9-0.005409*$F$11,0)</f>
        <v>0</v>
      </c>
      <c r="AH15" s="189">
        <f>IF(AND(_xlfn.CONCAT($F$9,"_",$F$10)=$P$15,$F$11&gt;=$T$15,$F$11&lt;=$U$15),15,0)</f>
        <v>0</v>
      </c>
      <c r="AI15" s="199">
        <f>IF(AND(_xlfn.CONCAT($G$9,"_",$G$10)=$P$15,$G$11&gt;=$Q$15,$G$11&lt;=$R$15),9.19-0.00629*$G$11,0)</f>
        <v>0</v>
      </c>
      <c r="AJ15" s="132">
        <f>IF(AND(_xlfn.CONCAT($G$9,"_",$G$10)=$P$15,$G$11&gt;=$T$15,$G$11&lt;=$U$15),7.9-0.005409*$G$11,0)</f>
        <v>0</v>
      </c>
      <c r="AK15" s="200">
        <f>IF(AND(_xlfn.CONCAT($G$9,"_",$G$10)=$P$15,$G$11&gt;=$T$15,$G$11&lt;=$U$15),15,0)</f>
        <v>0</v>
      </c>
    </row>
    <row r="16" spans="2:37" ht="15.75" thickBot="1" x14ac:dyDescent="0.3">
      <c r="B16" s="2" t="s">
        <v>199</v>
      </c>
      <c r="C16" s="128">
        <f>MAX(Y4:Y24)</f>
        <v>0</v>
      </c>
      <c r="D16" s="129">
        <f>MAX(AB4:AB24)</f>
        <v>0</v>
      </c>
      <c r="E16" s="129">
        <f>MAX(AE4:AE24)</f>
        <v>0</v>
      </c>
      <c r="F16" s="129">
        <f>MAX(AH4:AH24)</f>
        <v>0</v>
      </c>
      <c r="G16" s="130">
        <f>MAX(AK4:AK24)</f>
        <v>0</v>
      </c>
      <c r="I16" s="55"/>
      <c r="J16" s="55"/>
      <c r="K16" s="274" t="s">
        <v>23</v>
      </c>
      <c r="L16" s="179" t="s">
        <v>32</v>
      </c>
      <c r="M16" s="179" t="s">
        <v>238</v>
      </c>
      <c r="N16" s="179" t="s">
        <v>239</v>
      </c>
      <c r="O16" s="55"/>
      <c r="P16" s="11" t="str">
        <f>_xlfn.CONCAT($P$27,"_",$P$34)</f>
        <v>IMH_Continuous</v>
      </c>
      <c r="Q16" s="131">
        <v>310</v>
      </c>
      <c r="R16" s="131">
        <v>819</v>
      </c>
      <c r="S16" s="12" t="s">
        <v>94</v>
      </c>
      <c r="T16" s="131">
        <v>310</v>
      </c>
      <c r="U16" s="131">
        <v>819</v>
      </c>
      <c r="V16" s="180" t="s">
        <v>94</v>
      </c>
      <c r="W16" s="184">
        <f>IF(AND(_xlfn.CONCAT($C$9,"_",$C$10)=$P$16,$C$11&gt;=$Q$16,$C$11&lt;=$R$16),8.23-0.0032*$C$11,0)</f>
        <v>0</v>
      </c>
      <c r="X16" s="132">
        <f>IF(AND(_xlfn.CONCAT($C$9,"_",$C$10)=$P$16,$C$11&gt;=$T$16,$C$11&lt;=$U$16),7.08-0.002752*$C$11,0)</f>
        <v>0</v>
      </c>
      <c r="Y16" s="185">
        <f>IF(AND(_xlfn.CONCAT($C$9,"_",$C$10)=$P$16,$C$11&gt;=$T$16,$C$11&lt;=$U$16),15,0)</f>
        <v>0</v>
      </c>
      <c r="Z16" s="181">
        <f>IF(AND(_xlfn.CONCAT($D$9,"_",$D$10)=$P$16,$D$11&gt;=$Q$16,$D$11&lt;=$R$16),8.23-0.0032*$D$11,0)</f>
        <v>0</v>
      </c>
      <c r="AA16" s="132">
        <f>IF(AND(_xlfn.CONCAT($D$9,"_",$D$10)=$P$16,$D$11&gt;=$T$16,$D$11&lt;=$U$16),7.08-0.002752*$D$11,0)</f>
        <v>0</v>
      </c>
      <c r="AB16" s="189">
        <f>IF(AND(_xlfn.CONCAT($D$9,"_",$D$10)=$P$16,$D$11&gt;=$T$16,$D$11&lt;=$U$16),15,0)</f>
        <v>0</v>
      </c>
      <c r="AC16" s="192">
        <f>IF(AND(_xlfn.CONCAT($E$9,"_",$E$10)=$P$16,$E$11&gt;=$Q$16,$E$11&lt;=$R$16),8.23-0.0032*$E$11,0)</f>
        <v>0</v>
      </c>
      <c r="AD16" s="132">
        <f>IF(AND(_xlfn.CONCAT($E$9,"_",$E$10)=$P$16,$E$11&gt;=$T$16,$E$11&lt;=$U$16),7.08-0.002752*$E$11,0)</f>
        <v>0</v>
      </c>
      <c r="AE16" s="193">
        <f>IF(AND(_xlfn.CONCAT($E$9,"_",$E$10)=$P$16,$E$11&gt;=$T$16,$E$11&lt;=$U$16),15,0)</f>
        <v>0</v>
      </c>
      <c r="AF16" s="181">
        <f>IF(AND(_xlfn.CONCAT($F$9,"_",$F$10)=$P$16,$F$11&gt;=$Q$16,$F$11&lt;=$R$16),8.23-0.0032*$F$11,0)</f>
        <v>0</v>
      </c>
      <c r="AG16" s="132">
        <f>IF(AND(_xlfn.CONCAT($F$9,"_",$F$11)=$P$16,$F$11&gt;=$T$16,$F$10&lt;=$U$16),7.08-0.002752*$F$11,0)</f>
        <v>0</v>
      </c>
      <c r="AH16" s="189">
        <f>IF(AND(_xlfn.CONCAT($F$9,"_",$F$10)=$P$16,$F$11&gt;=$T$16,$F$11&lt;=$U$16),15,0)</f>
        <v>0</v>
      </c>
      <c r="AI16" s="199">
        <f>IF(AND(_xlfn.CONCAT($G$9,"_",$G$10)=$P$16,$G$11&gt;=$Q$16,$G$11&lt;=$R$16),8.23-0.0032*$G$11,0)</f>
        <v>0</v>
      </c>
      <c r="AJ16" s="132">
        <f>IF(AND(_xlfn.CONCAT($G$9,"_",$G$10)=$P$16,$G$11&gt;=$T$16,$G$11&lt;=$U$16),7.08-0.002752*$G$11,0)</f>
        <v>0</v>
      </c>
      <c r="AK16" s="200">
        <f>IF(AND(_xlfn.CONCAT($G$9,"_",$G$10)=$P$16,$G$11&gt;=$T$16,$G$11&lt;=$U$16),15,0)</f>
        <v>0</v>
      </c>
    </row>
    <row r="17" spans="2:37" ht="15.75" thickBot="1" x14ac:dyDescent="0.3">
      <c r="B17" s="2"/>
      <c r="K17" s="275"/>
      <c r="L17" s="179" t="s">
        <v>94</v>
      </c>
      <c r="M17" s="179" t="s">
        <v>240</v>
      </c>
      <c r="N17" s="179" t="s">
        <v>241</v>
      </c>
      <c r="P17" s="11" t="str">
        <f>_xlfn.CONCAT($P$27,"_",$P$34)</f>
        <v>IMH_Continuous</v>
      </c>
      <c r="Q17" s="131">
        <v>820</v>
      </c>
      <c r="R17" s="131">
        <v>4000</v>
      </c>
      <c r="S17" s="12" t="s">
        <v>221</v>
      </c>
      <c r="T17" s="131">
        <v>820</v>
      </c>
      <c r="U17" s="131">
        <v>4000</v>
      </c>
      <c r="V17" s="180" t="s">
        <v>210</v>
      </c>
      <c r="W17" s="184">
        <f>IF(AND(_xlfn.CONCAT($C$9,"_",$C$10)=$P$17,$C$11&gt;=$Q$17,$C$11&lt;=$R$17),5.61,0)</f>
        <v>0</v>
      </c>
      <c r="X17" s="132">
        <f>IF(AND(_xlfn.CONCAT($C$9,"_",$C$10)=$P$17,$C$11&gt;=$T$17,$C$11&lt;=$U$17),4.82,0)</f>
        <v>0</v>
      </c>
      <c r="Y17" s="185">
        <f>IF(AND(_xlfn.CONCAT($C$9,"_",$C$10)=$P$17,$C$11&gt;=$T$17,$C$11&lt;=$U$17),15,0)</f>
        <v>0</v>
      </c>
      <c r="Z17" s="181">
        <f>IF(AND(_xlfn.CONCAT($D$9,"_",$D$10)=$P$17,$D$11&gt;=$Q$17,$D$11&lt;=$R$17),5.61,0)</f>
        <v>0</v>
      </c>
      <c r="AA17" s="132">
        <f>IF(AND(_xlfn.CONCAT($D$9,"_",$D$10)=$P$17,$D$11&gt;=$T$17,$D$11&lt;=$U$17),4.82,0)</f>
        <v>0</v>
      </c>
      <c r="AB17" s="189">
        <f>IF(AND(_xlfn.CONCAT($D$9,"_",$D$10)=$P$17,$D$11&gt;=$T$17,$D$11&lt;=$U$17),15,0)</f>
        <v>0</v>
      </c>
      <c r="AC17" s="192">
        <f>IF(AND(_xlfn.CONCAT($E$9,"_",$E$10)=$P$17,$E$11&gt;=$Q$17,$E$11&lt;=$R$17),5.61,0)</f>
        <v>0</v>
      </c>
      <c r="AD17" s="132">
        <f>IF(AND(_xlfn.CONCAT($E$9,"_",$E$10)=$P$17,$E$11&gt;=$T$17,$E$11&lt;=$U$17),4.82,0)</f>
        <v>0</v>
      </c>
      <c r="AE17" s="193">
        <f>IF(AND(_xlfn.CONCAT($E$9,"_",$E$10)=$P$17,$E$11&gt;=$T$17,$E$11&lt;=$U$17),15,0)</f>
        <v>0</v>
      </c>
      <c r="AF17" s="181">
        <f>IF(AND(_xlfn.CONCAT($F$9,"_",$F$10)=$P$17,$F$11&gt;=$Q$17,$F$11&lt;=$R$17),5.61,0)</f>
        <v>0</v>
      </c>
      <c r="AG17" s="132">
        <f>IF(AND(_xlfn.CONCAT($F$9,"_",$F$10)=$P$17,$F$11&gt;=$T$17,$F$11&lt;=$U$17),4.82,0)</f>
        <v>0</v>
      </c>
      <c r="AH17" s="189">
        <f>IF(AND(_xlfn.CONCAT($F$9,"_",$F$10)=$P$17,$F$11&gt;=$T$17,$F$11&lt;=$U$17),15,0)</f>
        <v>0</v>
      </c>
      <c r="AI17" s="199">
        <f>IF(AND(_xlfn.CONCAT($G$9,"_",$G$10)=$P$17,$G$11&gt;=$Q$17,$G$11&lt;=$R$17),5.61,0)</f>
        <v>0</v>
      </c>
      <c r="AJ17" s="132">
        <f>IF(AND(_xlfn.CONCAT($G$9,"_",$G$10)=$P$17,$G$11&gt;=$T$17,$G$11&lt;=$U$17),4.82,0)</f>
        <v>0</v>
      </c>
      <c r="AK17" s="200">
        <f>IF(AND(_xlfn.CONCAT($G$9,"_",$G$10)=$P$17,$G$11&gt;=$T$17,$G$11&lt;=$U$17),15,0)</f>
        <v>0</v>
      </c>
    </row>
    <row r="18" spans="2:37" ht="15.75" thickBot="1" x14ac:dyDescent="0.3">
      <c r="B18" s="2" t="s">
        <v>154</v>
      </c>
      <c r="C18" s="119" t="str">
        <f>IFERROR(IF(OR($C$4="",C6="",C7="",C8="",C9="",C10="",C11="",C12="",C13=""),"Enter equipment specs",IF(AND(C12&lt;=C15,C13&lt;=C16),"Eligible","Not Eligible")),"Not Eligible")</f>
        <v>Enter equipment specs</v>
      </c>
      <c r="D18" s="120" t="str">
        <f>IFERROR(IF(OR($C$4="",D6="",D7="",D8="",D9="",D10="",D11="",D12="",D13=""),"Enter equipment specs",IF(AND(D12&lt;=D15,D13&lt;=D16),"Eligible","Not Eligible")),"Not Eligible")</f>
        <v>Enter equipment specs</v>
      </c>
      <c r="E18" s="120" t="str">
        <f>IFERROR(IF(OR($C$4="",E6="",E7="",E8="",E9="",E10="",E11="",E12="",E13=""),"Enter equipment specs",IF(AND(E12&lt;=E15,E13&lt;=E16),"Eligible","Not Eligible")),"Not Eligible")</f>
        <v>Enter equipment specs</v>
      </c>
      <c r="F18" s="120" t="str">
        <f>IFERROR(IF(OR($C$4="",F6="",F7="",F8="",F9="",F10="",F11="",F12="",F13=""),"Enter equipment specs",IF(AND(F12&lt;=F15,F13&lt;=F16),"Eligible","Not Eligible")),"Not Eligible")</f>
        <v>Enter equipment specs</v>
      </c>
      <c r="G18" s="121" t="str">
        <f>IFERROR(IF(OR($C$4="",G6="",G7="",G8="",G9="",G10="",G11="",G12="",G13=""),"Enter equipment specs",IF(AND(G12&lt;=G15,G13&lt;=G16),"Eligible","Not Eligible")),"Not Eligible")</f>
        <v>Enter equipment specs</v>
      </c>
      <c r="K18" s="276"/>
      <c r="L18" s="179" t="s">
        <v>254</v>
      </c>
      <c r="M18" s="179">
        <v>5.61</v>
      </c>
      <c r="N18" s="179">
        <v>4.82</v>
      </c>
      <c r="P18" s="11" t="str">
        <f>_xlfn.CONCAT($P$28,"_",$P$34)</f>
        <v>RCU (No Remote Compressor)_Continuous</v>
      </c>
      <c r="Q18" s="131">
        <v>0</v>
      </c>
      <c r="R18" s="131">
        <v>799</v>
      </c>
      <c r="S18" s="12" t="s">
        <v>33</v>
      </c>
      <c r="T18" s="131">
        <v>0</v>
      </c>
      <c r="U18" s="131">
        <v>799</v>
      </c>
      <c r="V18" s="180" t="s">
        <v>33</v>
      </c>
      <c r="W18" s="184">
        <f>IF(AND(_xlfn.CONCAT($C$9,"_",$C$10)=$P$18,$C$11&gt;=$Q$18,$C$11&lt;=$R$18),9.7-0.0058*$C$11,0)</f>
        <v>0</v>
      </c>
      <c r="X18" s="132">
        <f>IF(AND(_xlfn.CONCAT($C$9,"_",$C$10)=$P$18,$C$11&gt;=$T$18,$C$11&lt;=$U$18),7.76-0.00464*$C$11,0)</f>
        <v>0</v>
      </c>
      <c r="Y18" s="185">
        <f>IF(AND(_xlfn.CONCAT($C$9,"_",$C$10)=$P$18,$C$11&gt;=$T$18,$C$11&lt;=$U$18),15,0)</f>
        <v>0</v>
      </c>
      <c r="Z18" s="181">
        <f>IF(AND(_xlfn.CONCAT($D$9,"_",$D$10)=$P$18,$D$11&gt;=$Q$18,$D$11&lt;=$R$18),9.7-0.0058*$D$11,0)</f>
        <v>0</v>
      </c>
      <c r="AA18" s="132">
        <f>IF(AND(_xlfn.CONCAT($D$9,"_",$D$10)=$P$18,$D$11&gt;=$T$18,$D$11&lt;=$U$18),7.76-0.00464*$D$11,0)</f>
        <v>0</v>
      </c>
      <c r="AB18" s="189">
        <f>IF(AND(_xlfn.CONCAT($D$9,"_",$D$10)=$P$18,$D$11&gt;=$T$18,$D$11&lt;=$U$18),15,0)</f>
        <v>0</v>
      </c>
      <c r="AC18" s="192">
        <f>IF(AND(_xlfn.CONCAT($E$9,"_",$E$10)=$P$18,$E$11&gt;=$Q$18,$E$11&lt;=$R$18),9.7-0.0058*$E$11,0)</f>
        <v>0</v>
      </c>
      <c r="AD18" s="132">
        <f>IF(AND(_xlfn.CONCAT($E$9,"_",$E$10)=$P$18,$E$11&gt;=$T$18,$E$11&lt;=$U$18),7.76-0.00464*$E$11,0)</f>
        <v>0</v>
      </c>
      <c r="AE18" s="193">
        <f>IF(AND(_xlfn.CONCAT($E$9,"_",$E$10)=$P$18,$E$11&gt;=$T$18,$E$11&lt;=$U$18),15,0)</f>
        <v>0</v>
      </c>
      <c r="AF18" s="181">
        <f>IF(AND(_xlfn.CONCAT($F$9,"_",$F$10)=$P$18,$F$11&gt;=$Q$18,$F$11&lt;=$R$18),9.7-0.0058*$F$11,0)</f>
        <v>0</v>
      </c>
      <c r="AG18" s="132">
        <f>IF(AND(_xlfn.CONCAT($F$9,"_",$F$10)=$P$18,$F$11&gt;=$T$18,$F$11&lt;=$U$18),7.76-0.00464*$F$11,0)</f>
        <v>0</v>
      </c>
      <c r="AH18" s="189">
        <f>IF(AND(_xlfn.CONCAT($F$9,"_",$F$11)=$P$18,$F$11&gt;=$T$18,$F$10&lt;=$U$18),15,0)</f>
        <v>0</v>
      </c>
      <c r="AI18" s="199">
        <f>IF(AND(_xlfn.CONCAT($G$9,"_",$G$10)=$P$18,$G$11&gt;=$Q$18,$G$11&lt;=$R$18),9.7-0.0058*$G$11,0)</f>
        <v>0</v>
      </c>
      <c r="AJ18" s="132">
        <f>IF(AND(_xlfn.CONCAT($G$9,"_",$G$10)=$P$18,$G$11&gt;=$T$18,$G$11&lt;=$U$18),7.76-0.00464*$G$11,0)</f>
        <v>0</v>
      </c>
      <c r="AK18" s="200">
        <f>IF(AND(_xlfn.CONCAT($G$9,"_",$G$10)=$P$18,$G$11&gt;=$T$18,$G$11&lt;=$U$18),15,0)</f>
        <v>0</v>
      </c>
    </row>
    <row r="19" spans="2:37" ht="15.75" thickBot="1" x14ac:dyDescent="0.3">
      <c r="B19" s="2"/>
      <c r="K19" s="268" t="s">
        <v>27</v>
      </c>
      <c r="L19" s="179" t="s">
        <v>33</v>
      </c>
      <c r="M19" s="179" t="s">
        <v>242</v>
      </c>
      <c r="N19" s="179" t="s">
        <v>243</v>
      </c>
      <c r="P19" s="11" t="str">
        <f>_xlfn.CONCAT($P$28,"_",$P$34)</f>
        <v>RCU (No Remote Compressor)_Continuous</v>
      </c>
      <c r="Q19" s="131">
        <v>800</v>
      </c>
      <c r="R19" s="131">
        <v>4000</v>
      </c>
      <c r="S19" s="12" t="s">
        <v>220</v>
      </c>
      <c r="T19" s="131">
        <v>800</v>
      </c>
      <c r="U19" s="131">
        <v>4000</v>
      </c>
      <c r="V19" s="180" t="s">
        <v>211</v>
      </c>
      <c r="W19" s="184">
        <f>IF(AND(_xlfn.CONCAT($C$9,"_",$C$10)=$P$19,$C$11&gt;=$Q$19,$C$11&lt;=$R$19),5.06,0)</f>
        <v>0</v>
      </c>
      <c r="X19" s="132">
        <f>IF(AND(_xlfn.CONCAT($C$9,"_",$C$10)=$P$19,$C$11&gt;=$T$19,$C$11&lt;=$U$19),4.05,0)</f>
        <v>0</v>
      </c>
      <c r="Y19" s="185">
        <f>IF(AND(_xlfn.CONCAT($C$9,"_",$C$10)=$P$19,$C$11&gt;=$T$19,$C$11&lt;=$U$19),15,0)</f>
        <v>0</v>
      </c>
      <c r="Z19" s="181">
        <f>IF(AND(_xlfn.CONCAT($D$9,"_",$D$10)=$P$19,$D$11&gt;=$Q$19,$D$11&lt;=$R$19),5.06,0)</f>
        <v>0</v>
      </c>
      <c r="AA19" s="132">
        <f>IF(AND(_xlfn.CONCAT($D$9,"_",$D$10)=$P$19,$D$11&gt;=$T$19,$D$11&lt;=$U$19),4.05,0)</f>
        <v>0</v>
      </c>
      <c r="AB19" s="189">
        <f>IF(AND(_xlfn.CONCAT($D$9,"_",$D$10)=$P$19,$D$11&gt;=$T$19,$D$11&lt;=$U$19),15,0)</f>
        <v>0</v>
      </c>
      <c r="AC19" s="192">
        <f>IF(AND(_xlfn.CONCAT($E$9,"_",$E$10)=$P$19,$E$11&gt;=$Q$19,$E$11&lt;=$R$19),5.06,0)</f>
        <v>0</v>
      </c>
      <c r="AD19" s="132">
        <f>IF(AND(_xlfn.CONCAT($E$9,"_",$E$10)=$P$19,$E$11&gt;=$T$19,$E$11&lt;=$U$19),4.05,0)</f>
        <v>0</v>
      </c>
      <c r="AE19" s="193">
        <f>IF(AND(_xlfn.CONCAT($E$9,"_",$E$10)=$P$19,$E$11&gt;=$T$19,$E$11&lt;=$U$19),15,0)</f>
        <v>0</v>
      </c>
      <c r="AF19" s="181">
        <f>IF(AND(_xlfn.CONCAT($F$9,"_",$F$10)=$P$19,$F$11&gt;=$Q$19,$F$11&lt;=$R$19),5.06,0)</f>
        <v>0</v>
      </c>
      <c r="AG19" s="132">
        <f>IF(AND(_xlfn.CONCAT($F$9,"_",$F$10)=$P$19,$F$11&gt;=$T$19,$F$11&lt;=$U$19),4.05,0)</f>
        <v>0</v>
      </c>
      <c r="AH19" s="189">
        <f>IF(AND(_xlfn.CONCAT($F$9,"_",$F$10)=$P$19,$F$11&gt;=$T$19,$F$11&lt;=$U$19),15,0)</f>
        <v>0</v>
      </c>
      <c r="AI19" s="199">
        <f>IF(AND(_xlfn.CONCAT($G$9,"_",$G$10)=$P$19,$G$11&gt;=$Q$19,$G$11&lt;=$R$19),5.06,0)</f>
        <v>0</v>
      </c>
      <c r="AJ19" s="132">
        <f>IF(AND(_xlfn.CONCAT($G$9,"_",$G$10)=$P$19,$G$11&gt;=$T$19,$G$11&lt;=$U$19),4.05,0)</f>
        <v>0</v>
      </c>
      <c r="AK19" s="200">
        <f>IF(AND(_xlfn.CONCAT($G$9,"_",$G$10)=$P$19,$G$11&gt;=$T$19,$G$11&lt;=$U$19),15,0)</f>
        <v>0</v>
      </c>
    </row>
    <row r="20" spans="2:37" s="55" customFormat="1" x14ac:dyDescent="0.25">
      <c r="B20" s="2" t="s">
        <v>18</v>
      </c>
      <c r="C20" s="52">
        <f>C21*0.00012</f>
        <v>0</v>
      </c>
      <c r="D20" s="53">
        <f>D21*0.00012</f>
        <v>0</v>
      </c>
      <c r="E20" s="53">
        <f>E21*0.00012</f>
        <v>0</v>
      </c>
      <c r="F20" s="53">
        <f>F21*0.00012</f>
        <v>0</v>
      </c>
      <c r="G20" s="54">
        <f>G21*0.00012</f>
        <v>0</v>
      </c>
      <c r="K20" s="269"/>
      <c r="L20" s="179" t="s">
        <v>259</v>
      </c>
      <c r="M20" s="179">
        <v>5.0599999999999996</v>
      </c>
      <c r="N20" s="179">
        <v>4.05</v>
      </c>
      <c r="P20" s="11" t="str">
        <f>_xlfn.CONCAT($P$29,"_",$P$34)</f>
        <v>RCU (Remote Compressor)_Continuous</v>
      </c>
      <c r="Q20" s="131">
        <v>0</v>
      </c>
      <c r="R20" s="131">
        <v>799</v>
      </c>
      <c r="S20" s="12" t="s">
        <v>33</v>
      </c>
      <c r="T20" s="131">
        <v>0</v>
      </c>
      <c r="U20" s="131">
        <v>799</v>
      </c>
      <c r="V20" s="180" t="s">
        <v>33</v>
      </c>
      <c r="W20" s="184">
        <f>IF(AND(_xlfn.CONCAT($C$9,"_",$C$10)=$P$20,$C$11&gt;=$Q$20,$C$11&lt;=$R$20),9.9-0.0058*$C$11,0)</f>
        <v>0</v>
      </c>
      <c r="X20" s="132">
        <f>IF(AND(_xlfn.CONCAT($C$9,"_",$C$10)=$P$20,$C$11&gt;=$T$20,$C$11&lt;=$U$20),7.76-0.00464*$C$11,0)</f>
        <v>0</v>
      </c>
      <c r="Y20" s="185">
        <f>IF(AND(_xlfn.CONCAT($C$9,"_",$C$10)=$P$20,$C$11&gt;=$T$20,$C$11&lt;=$U$20),15,0)</f>
        <v>0</v>
      </c>
      <c r="Z20" s="181">
        <f>IF(AND(_xlfn.CONCAT($D$9,"_",$D$10)=$P$20,$D$11&gt;=$Q$20,$D$11&lt;=$R$20),9.9-0.0058*$D$11,0)</f>
        <v>0</v>
      </c>
      <c r="AA20" s="132">
        <f>IF(AND(_xlfn.CONCAT($D$9,"_",$D$10)=$P$20,$D$11&gt;=$T$20,$D$11&lt;=$U$20),7.76-0.00464*$D$11,0)</f>
        <v>0</v>
      </c>
      <c r="AB20" s="189">
        <f>IF(AND(_xlfn.CONCAT($D$9,"_",$D$10)=$P$20,$D$11&gt;=$T$20,$D$11&lt;=$U$20),15,0)</f>
        <v>0</v>
      </c>
      <c r="AC20" s="192">
        <f>IF(AND(_xlfn.CONCAT($E$9,"_",$E$10)=$P$20,$E$11&gt;=$Q$20,$E$11&lt;=$R$20),9.9-0.0058*$E$11,0)</f>
        <v>0</v>
      </c>
      <c r="AD20" s="132">
        <f>IF(AND(_xlfn.CONCAT($E$9,"_",$E$10)=$P$20,$E$11&gt;=$T$20,$E$11&lt;=$U$20),7.76-0.00464*$E$11,0)</f>
        <v>0</v>
      </c>
      <c r="AE20" s="193">
        <f>IF(AND(_xlfn.CONCAT($E$9,"_",$E$10)=$P$20,$E$11&gt;=$T$20,$E$11&lt;=$U$20),15,0)</f>
        <v>0</v>
      </c>
      <c r="AF20" s="181">
        <f>IF(AND(_xlfn.CONCAT($F$9,"_",$F$10)=$P$20,$F$11&gt;=$Q$20,$F$11&lt;=$R$20),9.9-0.0058*$F$11,0)</f>
        <v>0</v>
      </c>
      <c r="AG20" s="132">
        <f>IF(AND(_xlfn.CONCAT($F$9,"_",$F$10)=$P$20,$F$11&gt;=$T$20,$F$11&lt;=$U$20),7.76-0.00464*$F$11,0)</f>
        <v>0</v>
      </c>
      <c r="AH20" s="189">
        <f>IF(AND(_xlfn.CONCAT($F$9,"_",$F$10)=$P$20,$F$11&gt;=$T$20,$F$11&lt;=$U$20),15,0)</f>
        <v>0</v>
      </c>
      <c r="AI20" s="199">
        <f>IF(AND(_xlfn.CONCAT($G$9,"_",$G$10)=$P$20,$G$11&gt;=$Q$20,$G$11&lt;=$R$20),9.9-0.0058*$G$11,0)</f>
        <v>0</v>
      </c>
      <c r="AJ20" s="132">
        <f>IF(AND(_xlfn.CONCAT($G$9,"_",$G$10)=$P$20,$G$11&gt;=$T$20,$G$11&lt;=$U$20),7.76-0.00464*$G$11,0)</f>
        <v>0</v>
      </c>
      <c r="AK20" s="200">
        <f>IF(AND(_xlfn.CONCAT($G$9,"_",$G$10)=$P$20,$G$11&gt;=$T$20,$G$11&lt;=$U$20),15,0)</f>
        <v>0</v>
      </c>
    </row>
    <row r="21" spans="2:37" s="55" customFormat="1" x14ac:dyDescent="0.25">
      <c r="B21" s="2" t="s">
        <v>17</v>
      </c>
      <c r="C21" s="56">
        <f>((C14-C12)/100)*0.8*365*C11</f>
        <v>0</v>
      </c>
      <c r="D21" s="57">
        <f>((D14-D12)/100)*0.8*365*D11</f>
        <v>0</v>
      </c>
      <c r="E21" s="57">
        <f>((E14-E12)/100)*0.8*365*E11</f>
        <v>0</v>
      </c>
      <c r="F21" s="57">
        <f>((F14-F12)/100)*0.8*365*F11</f>
        <v>0</v>
      </c>
      <c r="G21" s="58">
        <f>((G14-G12)/100)*0.8*365*G11</f>
        <v>0</v>
      </c>
      <c r="K21" s="268" t="s">
        <v>35</v>
      </c>
      <c r="L21" s="179" t="s">
        <v>33</v>
      </c>
      <c r="M21" s="179" t="s">
        <v>244</v>
      </c>
      <c r="N21" s="179" t="s">
        <v>243</v>
      </c>
      <c r="P21" s="11" t="str">
        <f>_xlfn.CONCAT($P$29,"_",$P$34)</f>
        <v>RCU (Remote Compressor)_Continuous</v>
      </c>
      <c r="Q21" s="131">
        <v>800</v>
      </c>
      <c r="R21" s="131">
        <v>4000</v>
      </c>
      <c r="S21" s="12" t="s">
        <v>220</v>
      </c>
      <c r="T21" s="131">
        <v>800</v>
      </c>
      <c r="U21" s="131">
        <v>4000</v>
      </c>
      <c r="V21" s="180" t="s">
        <v>211</v>
      </c>
      <c r="W21" s="184">
        <f>IF(AND(_xlfn.CONCAT($C$9,"_",$C$10)=$P$21,$C$11&gt;=$Q$21,$C$11&lt;=$R$21),5.26,0)</f>
        <v>0</v>
      </c>
      <c r="X21" s="132">
        <f>IF(AND(_xlfn.CONCAT($C$9,"_",$C$10)=$P$21,$C$11&gt;=$T$21,$C$11&lt;=$U$21),4.05,0)</f>
        <v>0</v>
      </c>
      <c r="Y21" s="185">
        <f>IF(AND(_xlfn.CONCAT($C$9,"_",$C$10)=$P$21,$C$11&gt;=$T$21,$C$11&lt;=$U$21),15,0)</f>
        <v>0</v>
      </c>
      <c r="Z21" s="181">
        <f>IF(AND(_xlfn.CONCAT($D$9,"_",$D$10)=$P$21,$D$11&gt;=$Q$21,$D$11&lt;=$R$21),5.26,0)</f>
        <v>0</v>
      </c>
      <c r="AA21" s="132">
        <f>IF(AND(_xlfn.CONCAT($D$9,"_",$D$10)=$P$21,$D$11&gt;=$T$21,$D$11&lt;=$U$21),4.05,0)</f>
        <v>0</v>
      </c>
      <c r="AB21" s="189">
        <f>IF(AND(_xlfn.CONCAT($D$9,"_",$D$10)=$P$21,$D$11&gt;=$T$21,$D$11&lt;=$U$21),15,0)</f>
        <v>0</v>
      </c>
      <c r="AC21" s="192">
        <f>IF(AND(_xlfn.CONCAT($E$9,"_",$E$10)=$P$21,$E$11&gt;=$Q$21,$E$11&lt;=$R$21),5.26,0)</f>
        <v>0</v>
      </c>
      <c r="AD21" s="132">
        <f>IF(AND(_xlfn.CONCAT($E$9,"_",$E$10)=$P$21,$E$11&gt;=$T$21,$E$11&lt;=$U$21),4.05,0)</f>
        <v>0</v>
      </c>
      <c r="AE21" s="193">
        <f>IF(AND(_xlfn.CONCAT($E$9,"_",$E$10)=$P$21,$E$11&gt;=$T$21,$E$11&lt;=$U$21),15,0)</f>
        <v>0</v>
      </c>
      <c r="AF21" s="181">
        <f>IF(AND(_xlfn.CONCAT($F$9,"_",$F$10)=$P$21,$F$11&gt;=$Q$21,$F$11&lt;=$R$21),5.26,0)</f>
        <v>0</v>
      </c>
      <c r="AG21" s="132">
        <f>IF(AND(_xlfn.CONCAT($F$9,"_",$F$10)=$P$21,$F$11&gt;=$T$21,$F$11&lt;=$U$21),4.05,0)</f>
        <v>0</v>
      </c>
      <c r="AH21" s="189">
        <f>IF(AND(_xlfn.CONCAT($F$9,"_",$F$10)=$P$21,$F$11&gt;=$T$21,$F$11&lt;=$U$21),15,0)</f>
        <v>0</v>
      </c>
      <c r="AI21" s="199">
        <f>IF(AND(_xlfn.CONCAT($G$9,"_",$G$10)=$P$21,$G$11&gt;=$Q$21,$G$11&lt;=$R$21),5.26,0)</f>
        <v>0</v>
      </c>
      <c r="AJ21" s="132">
        <f>IF(AND(_xlfn.CONCAT($G$9,"_",$G$10)=$P$21,$G$11&gt;=$T$21,$G$11&lt;=$U$21),4.05,0)</f>
        <v>0</v>
      </c>
      <c r="AK21" s="200">
        <f>IF(AND(_xlfn.CONCAT($G$9,"_",$G$10)=$P$21,$G$11&gt;=$T$21,$G$11&lt;=$U$21),15,0)</f>
        <v>0</v>
      </c>
    </row>
    <row r="22" spans="2:37" s="55" customFormat="1" x14ac:dyDescent="0.25">
      <c r="B22" s="2" t="s">
        <v>132</v>
      </c>
      <c r="C22" s="59">
        <f>IF(C18&lt;&gt;"Eligible",0,IF(AND($C$4="Commercial Comprehensive",C10="Batch"),C11*0.1,IF(AND($C$4="Commercial Comprehensive",C10="Continuous"),C11*0.2,IF($C$4="SCORE Plus",C21*0.12,0))))</f>
        <v>0</v>
      </c>
      <c r="D22" s="60">
        <f>IF(D18&lt;&gt;"Eligible",0,IF(AND($C$4="Commercial Comprehensive",D10="Batch"),D11*0.1,IF(AND($C$4="Commercial Comprehensive",D10="Continuous"),D11*0.2,IF($C$4="SCORE Plus",D21*0.12,0))))</f>
        <v>0</v>
      </c>
      <c r="E22" s="60">
        <f>IF(E18&lt;&gt;"Eligible",0,IF(AND($C$4="Commercial Comprehensive",E10="Batch"),E11*0.1,IF(AND($C$4="Commercial Comprehensive",E10="Continuous"),E11*0.2,IF($C$4="SCORE Plus",E21*0.12,0))))</f>
        <v>0</v>
      </c>
      <c r="F22" s="60">
        <f>IF(F18&lt;&gt;"Eligible",0,IF(AND($C$4="Commercial Comprehensive",F10="Batch"),F11*0.1,IF(AND($C$4="Commercial Comprehensive",F10="Continuous"),F11*0.2,IF($C$4="SCORE Plus",F21*0.12,0))))</f>
        <v>0</v>
      </c>
      <c r="G22" s="61">
        <f>IF(G18&lt;&gt;"Eligible",0,IF(AND($C$4="Commercial Comprehensive",G10="Batch"),G11*0.1,IF(AND($C$4="Commercial Comprehensive",G10="Continuous"),G11*0.2,IF($C$4="SCORE Plus",G21*0.12,0))))</f>
        <v>0</v>
      </c>
      <c r="K22" s="268"/>
      <c r="L22" s="179" t="s">
        <v>259</v>
      </c>
      <c r="M22" s="179">
        <v>5.26</v>
      </c>
      <c r="N22" s="179">
        <v>4.05</v>
      </c>
      <c r="P22" s="11" t="str">
        <f>_xlfn.CONCAT($P$30,"_",$P$34)</f>
        <v>SCU_Continuous</v>
      </c>
      <c r="Q22" s="131">
        <v>0</v>
      </c>
      <c r="R22" s="131">
        <v>199</v>
      </c>
      <c r="S22" s="12" t="s">
        <v>26</v>
      </c>
      <c r="T22" s="131">
        <v>0</v>
      </c>
      <c r="U22" s="131">
        <v>199</v>
      </c>
      <c r="V22" s="180" t="s">
        <v>26</v>
      </c>
      <c r="W22" s="184">
        <f>IF(AND(_xlfn.CONCAT($C$9,"_",$C$10)=$P$22,$C$11&gt;=$Q$22,$C$11&lt;=$R$22),14.22-0.03*$C$11,0)</f>
        <v>0</v>
      </c>
      <c r="X22" s="132">
        <f>IF(AND(_xlfn.CONCAT($C$9,"_",$C$10)=$P$22,$C$11&gt;=$T$22,$C$11&lt;=$U$22),12.37-0.0261*$C$11,0)</f>
        <v>0</v>
      </c>
      <c r="Y22" s="185">
        <f>IF(AND(_xlfn.CONCAT($C$9,"_",$C$10)=$P$22,$C$11&gt;=$T$22,$C$11&lt;=$U$22),15,0)</f>
        <v>0</v>
      </c>
      <c r="Z22" s="181">
        <f>IF(AND(_xlfn.CONCAT($D$9,"_",$D$10)=$P$22,$D$11&gt;=$Q$22,$D$11&lt;=$R$22),14.22-0.03*$D$11,0)</f>
        <v>0</v>
      </c>
      <c r="AA22" s="132">
        <f>IF(AND(_xlfn.CONCAT($D$9,"_",$D$10)=$P$22,$D$11&gt;=$T$22,$D$11&lt;=$U$22),12.37-0.0261*$D$11,0)</f>
        <v>0</v>
      </c>
      <c r="AB22" s="189">
        <f>IF(AND(_xlfn.CONCAT($D$9,"_",$D$10)=$P$22,$D$11&gt;=$T$22,$D$11&lt;=$U$22),15,0)</f>
        <v>0</v>
      </c>
      <c r="AC22" s="192">
        <f>IF(AND(_xlfn.CONCAT($E$9,"_",$E$10)=$P$22,$E$11&gt;=$Q$22,$E$11&lt;=$R$22),14.22-0.03*$E$11,0)</f>
        <v>0</v>
      </c>
      <c r="AD22" s="132">
        <f>IF(AND(_xlfn.CONCAT($E$9,"_",$E$10)=$P$22,$E$11&gt;=$T$22,$E$11&lt;=$U$22),12.37-0.0261*$E$11,0)</f>
        <v>0</v>
      </c>
      <c r="AE22" s="193">
        <f>IF(AND(_xlfn.CONCAT($E$9,"_",$E$10)=$P$22,$E$11&gt;=$T$22,$E$11&lt;=$U$22),15,0)</f>
        <v>0</v>
      </c>
      <c r="AF22" s="181">
        <f>IF(AND(_xlfn.CONCAT($F$9,"_",$F$10)=$P$22,$F$11&gt;=$Q$22,$F$11&lt;=$R$22),14.22-0.03*$F$11,0)</f>
        <v>0</v>
      </c>
      <c r="AG22" s="132">
        <f>IF(AND(_xlfn.CONCAT($F$9,"_",$F$10)=$P$22,$F$11&gt;=$T$22,$F$11&lt;=$U$22),12.37-0.0261*$F$11,0)</f>
        <v>0</v>
      </c>
      <c r="AH22" s="189">
        <f>IF(AND(_xlfn.CONCAT($F$9,"_",$F$10)=$P$22,$F$11&gt;=$T$22,$F$11&lt;=$U$22),15,0)</f>
        <v>0</v>
      </c>
      <c r="AI22" s="199">
        <f>IF(AND(_xlfn.CONCAT($G$9,"_",$G$10)=$P$22,$G$11&gt;=$Q$22,$G$11&lt;=$R$22),14.22-0.03*$G$11,0)</f>
        <v>0</v>
      </c>
      <c r="AJ22" s="132">
        <f>IF(AND(_xlfn.CONCAT($G$9,"_",$G$10)=$P$22,$G$11&gt;=$T$22,$G$11&lt;=$U$22),12.37-0.0261*$G$11,0)</f>
        <v>0</v>
      </c>
      <c r="AK22" s="200">
        <f>IF(AND(_xlfn.CONCAT($G$9,"_",$G$10)=$P$22,$G$11&gt;=$T$22,$G$11&lt;=$U$22),15,0)</f>
        <v>0</v>
      </c>
    </row>
    <row r="23" spans="2:37" s="55" customFormat="1" ht="15.75" thickBot="1" x14ac:dyDescent="0.3">
      <c r="B23" s="2" t="s">
        <v>90</v>
      </c>
      <c r="C23" s="62">
        <f>Summary!$F$16</f>
        <v>8.5</v>
      </c>
      <c r="D23" s="63">
        <f>Summary!$F$16</f>
        <v>8.5</v>
      </c>
      <c r="E23" s="63">
        <f>Summary!$F$16</f>
        <v>8.5</v>
      </c>
      <c r="F23" s="63">
        <f>Summary!$F$16</f>
        <v>8.5</v>
      </c>
      <c r="G23" s="64">
        <f>Summary!$F$16</f>
        <v>8.5</v>
      </c>
      <c r="K23" s="270" t="s">
        <v>29</v>
      </c>
      <c r="L23" s="179" t="s">
        <v>26</v>
      </c>
      <c r="M23" s="179" t="s">
        <v>245</v>
      </c>
      <c r="N23" s="179" t="s">
        <v>246</v>
      </c>
      <c r="P23" s="11" t="str">
        <f>_xlfn.CONCAT($P$30,"_",$P$34)</f>
        <v>SCU_Continuous</v>
      </c>
      <c r="Q23" s="131">
        <v>200</v>
      </c>
      <c r="R23" s="131">
        <v>699</v>
      </c>
      <c r="S23" s="12" t="s">
        <v>95</v>
      </c>
      <c r="T23" s="131">
        <v>200</v>
      </c>
      <c r="U23" s="131">
        <v>699</v>
      </c>
      <c r="V23" s="180" t="s">
        <v>95</v>
      </c>
      <c r="W23" s="184">
        <f>IF(AND(_xlfn.CONCAT($C$9,"_",$C$10)=$P$23,$C$11&gt;=$Q$23,$C$11&lt;=$R$23),9.47-0.00624*$C$11,0)</f>
        <v>0</v>
      </c>
      <c r="X23" s="132">
        <f>IF(AND(_xlfn.CONCAT($C$9,"_",$C$10)=$P$23,$C$11&gt;=$T$23,$C$11&lt;=$U$23),8.24-0.005429*$C$11,0)</f>
        <v>0</v>
      </c>
      <c r="Y23" s="185">
        <f>IF(AND(_xlfn.CONCAT($C$9,"_",$C$10)=$P$23,$C$11&gt;=$T$23,$C$11&lt;=$U$23),15,0)</f>
        <v>0</v>
      </c>
      <c r="Z23" s="181">
        <f>IF(AND(_xlfn.CONCAT($D$9,"_",$D$10)=$P$23,$D$11&gt;=$Q$23,$D$11&lt;=$R$23),9.47-0.00624*$D$11,0)</f>
        <v>0</v>
      </c>
      <c r="AA23" s="132">
        <f>IF(AND(_xlfn.CONCAT($D$9,"_",$D$10)=$P$23,$D$11&gt;=$T$23,$D$11&lt;=$U$23),8.24-0.005429*$D$11,0)</f>
        <v>0</v>
      </c>
      <c r="AB23" s="189">
        <f>IF(AND(_xlfn.CONCAT($D$9,"_",$D$10)=$P$23,$D$11&gt;=$T$23,$D$11&lt;=$U$23),15,0)</f>
        <v>0</v>
      </c>
      <c r="AC23" s="192">
        <f>IF(AND(_xlfn.CONCAT($E$9,"_",$E$10)=$P$23,$E$11&gt;=$Q$23,$E$11&lt;=$R$23),9.47-0.00624*$E$11,0)</f>
        <v>0</v>
      </c>
      <c r="AD23" s="132">
        <f>IF(AND(_xlfn.CONCAT($E$9,"_",$E$10)=$P$23,$E$11&gt;=$T$23,$E$11&lt;=$U$23),8.24-0.005429*$E$11,0)</f>
        <v>0</v>
      </c>
      <c r="AE23" s="193">
        <f>IF(AND(_xlfn.CONCAT($E$9,"_",$E$10)=$P$23,$E$11&gt;=$T$23,$E$11&lt;=$U$23),15,0)</f>
        <v>0</v>
      </c>
      <c r="AF23" s="181">
        <f>IF(AND(_xlfn.CONCAT($F$9,"_",$F$10)=$P$23,$F$11&gt;=$Q$23,$F$11&lt;=$R$23),9.47-0.00624*$F$11,0)</f>
        <v>0</v>
      </c>
      <c r="AG23" s="132">
        <f>IF(AND(_xlfn.CONCAT($F$9,"_",$F$10)=$P$23,$F$11&gt;=$T$23,$F$11&lt;=$U$23),8.24-0.005429*$F$11,0)</f>
        <v>0</v>
      </c>
      <c r="AH23" s="189">
        <f>IF(AND(_xlfn.CONCAT($F$9,"_",$F$10)=$P$23,$F$11&gt;=$T$23,$F$11&lt;=$U$23),15,0)</f>
        <v>0</v>
      </c>
      <c r="AI23" s="199">
        <f>IF(AND(_xlfn.CONCAT($G$9,"_",$G$10)=$P$23,$G$11&gt;=$Q$23,$G$11&lt;=$R$23),9.47-0.00624*$G$11,0)</f>
        <v>0</v>
      </c>
      <c r="AJ23" s="132">
        <f>IF(AND(_xlfn.CONCAT($G$9,"_",$G$10)=$P$23,$G$11&gt;=$T$23,$G$11&lt;=$U$23),8.24-0.005429*$G$11,0)</f>
        <v>0</v>
      </c>
      <c r="AK23" s="200">
        <f>IF(AND(_xlfn.CONCAT($G$9,"_",$G$10)=$P$23,$G$11&gt;=$T$23,$G$11&lt;=$U$23),15,0)</f>
        <v>0</v>
      </c>
    </row>
    <row r="24" spans="2:37" ht="15.75" thickBot="1" x14ac:dyDescent="0.3">
      <c r="B24" s="2"/>
      <c r="K24" s="271"/>
      <c r="L24" s="179" t="s">
        <v>95</v>
      </c>
      <c r="M24" s="179" t="s">
        <v>247</v>
      </c>
      <c r="N24" s="179" t="s">
        <v>248</v>
      </c>
      <c r="P24" s="11" t="str">
        <f>_xlfn.CONCAT($P$30,"_",$P$34)</f>
        <v>SCU_Continuous</v>
      </c>
      <c r="Q24" s="131">
        <v>700</v>
      </c>
      <c r="R24" s="131">
        <v>4000</v>
      </c>
      <c r="S24" s="12" t="s">
        <v>219</v>
      </c>
      <c r="T24" s="131">
        <v>700</v>
      </c>
      <c r="U24" s="131">
        <v>4000</v>
      </c>
      <c r="V24" s="180" t="s">
        <v>212</v>
      </c>
      <c r="W24" s="186">
        <f>IF(AND(_xlfn.CONCAT($C$9,"_",$C$10)=$P$24,$C$11&gt;=$Q$24,$C$11&lt;=$R$24),5.1,0)</f>
        <v>0</v>
      </c>
      <c r="X24" s="187">
        <f>IF(AND(_xlfn.CONCAT($C$9,"_",$C$10)=$P$24,$C$11&gt;=$T$24,$C$11&lt;=$U$24),4.44,0)</f>
        <v>0</v>
      </c>
      <c r="Y24" s="188">
        <f>IF(AND(_xlfn.CONCAT($C$9,"_",$C$10)=$P$24,$C$11&gt;=$T$24,$C$11&lt;=$U$24),15,0)</f>
        <v>0</v>
      </c>
      <c r="Z24" s="181">
        <f>IF(AND(_xlfn.CONCAT($D$9,"_",$D$10)=$P$24,$D$11&gt;=$Q$24,$D$11&lt;=$R$24),5.1,0)</f>
        <v>0</v>
      </c>
      <c r="AA24" s="132">
        <f>IF(AND(_xlfn.CONCAT($D$9,"_",$D$10)=$P$24,$D$11&gt;=$T$24,$D$11&lt;=$U$24),4.44,0)</f>
        <v>0</v>
      </c>
      <c r="AB24" s="189">
        <f>IF(AND(_xlfn.CONCAT($D$9,"_",$D$10)=$P$24,$D$11&gt;=$T$24,$D$11&lt;=$U$24),15,0)</f>
        <v>0</v>
      </c>
      <c r="AC24" s="194">
        <f>IF(AND(_xlfn.CONCAT($E$9,"_",$E$10)=$P$24,$E$11&gt;=$Q$24,$E$11&lt;=$R$24),5.1,0)</f>
        <v>0</v>
      </c>
      <c r="AD24" s="195">
        <f>IF(AND(_xlfn.CONCAT($E$9,"_",$E$10)=$P$24,$E$11&gt;=$T$24,$E$11&lt;=$U$24),4.44,0)</f>
        <v>0</v>
      </c>
      <c r="AE24" s="196">
        <f>IF(AND(_xlfn.CONCAT($E$9,"_",$E$10)=$P$24,$E$11&gt;=$T$24,$E$11&lt;=$U$24),15,0)</f>
        <v>0</v>
      </c>
      <c r="AF24" s="181">
        <f>IF(AND(_xlfn.CONCAT($F$9,"_",$F$10)=$P$24,$F$11&gt;=$Q$24,$F$11&lt;=$R$24),5.1,0)</f>
        <v>0</v>
      </c>
      <c r="AG24" s="132">
        <f>IF(AND(_xlfn.CONCAT($F$9,"_",$F$10)=$P$24,$F$11&gt;=$T$24,$F$11&lt;=$U$24),4.44,0)</f>
        <v>0</v>
      </c>
      <c r="AH24" s="189">
        <f>IF(AND(_xlfn.CONCAT($F$9,"_",$F$10)=$P$24,$F$11&gt;=$T$24,$F$11&lt;=$U$24),15,0)</f>
        <v>0</v>
      </c>
      <c r="AI24" s="201">
        <f>IF(AND(_xlfn.CONCAT($G$9,"_",$G$10)=$P$24,$G$11&gt;=$Q$24,$G$11&lt;=$R$24),5.1,0)</f>
        <v>0</v>
      </c>
      <c r="AJ24" s="202">
        <f>IF(AND(_xlfn.CONCAT($G$9,"_",$G$10)=$P$24,$G$11&gt;=$T$24,$G$11&lt;=$U$24),4.44,0)</f>
        <v>0</v>
      </c>
      <c r="AK24" s="203">
        <f>IF(AND(_xlfn.CONCAT($G$9,"_",$G$10)=$P$24,$G$11&gt;=$T$24,$G$11&lt;=$U$24),15,0)</f>
        <v>0</v>
      </c>
    </row>
    <row r="25" spans="2:37" x14ac:dyDescent="0.25">
      <c r="K25" s="272"/>
      <c r="L25" s="179" t="s">
        <v>260</v>
      </c>
      <c r="M25" s="179">
        <v>5.0999999999999996</v>
      </c>
      <c r="N25" s="179">
        <v>4.4400000000000004</v>
      </c>
    </row>
    <row r="26" spans="2:37" x14ac:dyDescent="0.25">
      <c r="K26" s="257" t="s">
        <v>305</v>
      </c>
      <c r="L26" s="257"/>
      <c r="M26" s="257"/>
      <c r="N26" s="257"/>
      <c r="P26" s="55" t="s">
        <v>191</v>
      </c>
      <c r="Q26" s="55"/>
      <c r="R26" s="55"/>
      <c r="S26" s="55"/>
      <c r="T26" s="55"/>
      <c r="U26" s="55"/>
      <c r="V26" s="55"/>
    </row>
    <row r="27" spans="2:37" x14ac:dyDescent="0.25">
      <c r="K27" s="257"/>
      <c r="L27" s="257"/>
      <c r="M27" s="257"/>
      <c r="N27" s="257"/>
      <c r="P27" s="10" t="s">
        <v>23</v>
      </c>
    </row>
    <row r="28" spans="2:37" x14ac:dyDescent="0.25">
      <c r="P28" s="10" t="s">
        <v>36</v>
      </c>
    </row>
    <row r="29" spans="2:37" x14ac:dyDescent="0.25">
      <c r="P29" s="10" t="s">
        <v>34</v>
      </c>
    </row>
    <row r="30" spans="2:37" x14ac:dyDescent="0.25">
      <c r="P30" s="10" t="s">
        <v>29</v>
      </c>
    </row>
    <row r="32" spans="2:37" x14ac:dyDescent="0.25">
      <c r="P32" s="55" t="s">
        <v>195</v>
      </c>
      <c r="Q32" s="55"/>
      <c r="R32" s="55"/>
      <c r="S32" s="55"/>
      <c r="T32" s="55"/>
      <c r="U32" s="55"/>
      <c r="V32" s="55"/>
    </row>
    <row r="33" spans="16:16" x14ac:dyDescent="0.25">
      <c r="P33" s="10" t="s">
        <v>20</v>
      </c>
    </row>
    <row r="34" spans="16:16" x14ac:dyDescent="0.25">
      <c r="P34" s="10" t="s">
        <v>37</v>
      </c>
    </row>
  </sheetData>
  <sheetProtection algorithmName="SHA-512" hashValue="/ti4TGe474iqDuxGdbSOiM/lhbx2oInCFxAPu02EUpZ0t+ebVdeA3f4EfSMGjXi3wjLGKQ4Ro51bpp/MqpkAig==" saltValue="b6ZTlIVzdYfU1u8QKWoxmA==" spinCount="100000" sheet="1" objects="1" scenarios="1"/>
  <mergeCells count="21">
    <mergeCell ref="AI2:AK2"/>
    <mergeCell ref="S2:S3"/>
    <mergeCell ref="V2:V3"/>
    <mergeCell ref="T2:T3"/>
    <mergeCell ref="U2:U3"/>
    <mergeCell ref="AC2:AE2"/>
    <mergeCell ref="AF2:AH2"/>
    <mergeCell ref="K26:N27"/>
    <mergeCell ref="P2:P3"/>
    <mergeCell ref="W2:Y2"/>
    <mergeCell ref="Z2:AB2"/>
    <mergeCell ref="Q2:Q3"/>
    <mergeCell ref="K8:K9"/>
    <mergeCell ref="R2:R3"/>
    <mergeCell ref="K19:K20"/>
    <mergeCell ref="K21:K22"/>
    <mergeCell ref="K23:K25"/>
    <mergeCell ref="K4:K7"/>
    <mergeCell ref="K10:K11"/>
    <mergeCell ref="K12:K14"/>
    <mergeCell ref="K16:K18"/>
  </mergeCells>
  <conditionalFormatting sqref="C18:G18">
    <cfRule type="expression" dxfId="3" priority="1">
      <formula>C18="Not Eligible"</formula>
    </cfRule>
    <cfRule type="expression" dxfId="2" priority="2">
      <formula>C18="Eligible"</formula>
    </cfRule>
  </conditionalFormatting>
  <dataValidations count="3">
    <dataValidation type="list" allowBlank="1" showInputMessage="1" showErrorMessage="1" sqref="C4" xr:uid="{C5E53708-1C0A-433F-A092-0B39A129BD53}">
      <formula1>"Commercial Comprehensive, SCORE Plus"</formula1>
    </dataValidation>
    <dataValidation type="list" allowBlank="1" showInputMessage="1" showErrorMessage="1" sqref="C9:G9" xr:uid="{F1470FE0-9865-4B3F-AE5A-17680695000E}">
      <formula1>$P$27:$P$30</formula1>
    </dataValidation>
    <dataValidation type="list" allowBlank="1" showInputMessage="1" showErrorMessage="1" sqref="C10:G10" xr:uid="{FD2BDD74-1351-42BE-BE1B-E6BF3FCD0400}">
      <formula1>$P$33:$P$34</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837650f-4e7f-463e-8c1d-d4d3a33576d1">
      <Terms xmlns="http://schemas.microsoft.com/office/infopath/2007/PartnerControls"/>
    </lcf76f155ced4ddcb4097134ff3c332f>
    <TaxCatchAll xmlns="e22cd451-935e-461d-9eac-2877c110c69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8BFD3B6FA49D149A50CBEE50AA6A606" ma:contentTypeVersion="14" ma:contentTypeDescription="Create a new document." ma:contentTypeScope="" ma:versionID="97d009dcdad65fd67c1020f9a84fab8c">
  <xsd:schema xmlns:xsd="http://www.w3.org/2001/XMLSchema" xmlns:xs="http://www.w3.org/2001/XMLSchema" xmlns:p="http://schemas.microsoft.com/office/2006/metadata/properties" xmlns:ns2="9837650f-4e7f-463e-8c1d-d4d3a33576d1" xmlns:ns3="e22cd451-935e-461d-9eac-2877c110c691" targetNamespace="http://schemas.microsoft.com/office/2006/metadata/properties" ma:root="true" ma:fieldsID="5fcd282138a1040cb806a43d0b5c48ed" ns2:_="" ns3:_="">
    <xsd:import namespace="9837650f-4e7f-463e-8c1d-d4d3a33576d1"/>
    <xsd:import namespace="e22cd451-935e-461d-9eac-2877c110c69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37650f-4e7f-463e-8c1d-d4d3a3357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626392cd-2412-4e4b-807b-434ade0b29f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22cd451-935e-461d-9eac-2877c110c69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b7c3823-e93c-4d7b-93a3-2d416322b822}" ma:internalName="TaxCatchAll" ma:showField="CatchAllData" ma:web="e22cd451-935e-461d-9eac-2877c110c691">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F6E942-FD9F-4DF0-B9F4-99D312CDFF7B}">
  <ds:schemaRefs>
    <ds:schemaRef ds:uri="http://schemas.microsoft.com/office/infopath/2007/PartnerControls"/>
    <ds:schemaRef ds:uri="http://purl.org/dc/elements/1.1/"/>
    <ds:schemaRef ds:uri="http://www.w3.org/XML/1998/namespace"/>
    <ds:schemaRef ds:uri="http://schemas.openxmlformats.org/package/2006/metadata/core-properties"/>
    <ds:schemaRef ds:uri="461aa5ff-27a2-4d9e-94ba-62e6d127cb15"/>
    <ds:schemaRef ds:uri="http://schemas.microsoft.com/office/2006/metadata/properties"/>
    <ds:schemaRef ds:uri="http://schemas.microsoft.com/office/2006/documentManagement/types"/>
    <ds:schemaRef ds:uri="52c375d0-edde-4dfe-ba30-1a12817a8602"/>
    <ds:schemaRef ds:uri="http://purl.org/dc/dcmitype/"/>
    <ds:schemaRef ds:uri="http://purl.org/dc/terms/"/>
    <ds:schemaRef ds:uri="9837650f-4e7f-463e-8c1d-d4d3a33576d1"/>
    <ds:schemaRef ds:uri="e22cd451-935e-461d-9eac-2877c110c691"/>
  </ds:schemaRefs>
</ds:datastoreItem>
</file>

<file path=customXml/itemProps2.xml><?xml version="1.0" encoding="utf-8"?>
<ds:datastoreItem xmlns:ds="http://schemas.openxmlformats.org/officeDocument/2006/customXml" ds:itemID="{144BB427-E998-455F-B5B2-CF39B7A3C779}">
  <ds:schemaRefs>
    <ds:schemaRef ds:uri="http://schemas.microsoft.com/sharepoint/v3/contenttype/forms"/>
  </ds:schemaRefs>
</ds:datastoreItem>
</file>

<file path=customXml/itemProps3.xml><?xml version="1.0" encoding="utf-8"?>
<ds:datastoreItem xmlns:ds="http://schemas.openxmlformats.org/officeDocument/2006/customXml" ds:itemID="{82EF5E43-07D7-441A-AAF2-A3B6F25221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37650f-4e7f-463e-8c1d-d4d3a33576d1"/>
    <ds:schemaRef ds:uri="e22cd451-935e-461d-9eac-2877c110c6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Project Info</vt:lpstr>
      <vt:lpstr>Summary</vt:lpstr>
      <vt:lpstr>Definitions</vt:lpstr>
      <vt:lpstr>Combi Ovens</vt:lpstr>
      <vt:lpstr>Conv Ovens</vt:lpstr>
      <vt:lpstr>Fryers</vt:lpstr>
      <vt:lpstr>Steam Cookers</vt:lpstr>
      <vt:lpstr>HFHCs</vt:lpstr>
      <vt:lpstr>Ice Makers</vt:lpstr>
      <vt:lpstr>Dishwashers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Stanaland</dc:creator>
  <cp:lastModifiedBy>Christopher Stanaland</cp:lastModifiedBy>
  <dcterms:created xsi:type="dcterms:W3CDTF">2019-10-07T14:36:06Z</dcterms:created>
  <dcterms:modified xsi:type="dcterms:W3CDTF">2026-02-16T15:24:33Z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0x01010048BFD3B6FA49D149A50CBEE50AA6A606</vt:lpwstr>
  </property>
</Properties>
</file>