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arsen\ND Office Echo\VAULT-6KST3U47\"/>
    </mc:Choice>
  </mc:AlternateContent>
  <bookViews>
    <workbookView xWindow="0" yWindow="0" windowWidth="28800" windowHeight="11820"/>
  </bookViews>
  <sheets>
    <sheet name="Table of Contents" sheetId="47" r:id="rId1"/>
    <sheet name="Actual Attachment H" sheetId="1" r:id="rId2"/>
    <sheet name="A1 (FF1 Inputs)" sheetId="2" r:id="rId3"/>
    <sheet name="A2 (Divisor)" sheetId="18" r:id="rId4"/>
    <sheet name="A3 (Revenue Credits)" sheetId="3" r:id="rId5"/>
    <sheet name="A3-1 (Incr PV Rev Cred)" sheetId="50" r:id="rId6"/>
    <sheet name="A4 (Plant)" sheetId="6" r:id="rId7"/>
    <sheet name="A5 (Excluded Trans Plant)" sheetId="26" r:id="rId8"/>
    <sheet name="A6 (CWIP)" sheetId="10" r:id="rId9"/>
    <sheet name="A7 (DIT Averages)" sheetId="24" r:id="rId10"/>
    <sheet name="A8 (ADIT Balances)" sheetId="13" r:id="rId11"/>
    <sheet name="A9 (Excess and Deficient DIT)" sheetId="25" r:id="rId12"/>
    <sheet name="A10 (Reg Assets Liabilities)" sheetId="8" r:id="rId13"/>
    <sheet name="A11 (Abandoned Plant)" sheetId="11" r:id="rId14"/>
    <sheet name="A12 (Unfunded Reserves)" sheetId="12" r:id="rId15"/>
    <sheet name="A13 (Hold Harmless Adjustment)" sheetId="20" r:id="rId16"/>
    <sheet name="A14 (Land Held for Future Use)" sheetId="9" r:id="rId17"/>
    <sheet name="A15 (Working Capital)" sheetId="7" r:id="rId18"/>
    <sheet name="A16 (Operating Expenses)" sheetId="5" r:id="rId19"/>
    <sheet name="A17 (Taxes Other)" sheetId="15" r:id="rId20"/>
    <sheet name="A18 (Cost of Capital)" sheetId="17" r:id="rId21"/>
    <sheet name="A19 (Income Tax Rates)" sheetId="16" r:id="rId22"/>
    <sheet name="A20 (Permanent Differences)" sheetId="19" r:id="rId23"/>
    <sheet name="A21 (Incentive Plant)" sheetId="22" r:id="rId24"/>
    <sheet name="A22 (Allocation Factors)" sheetId="4" r:id="rId25"/>
    <sheet name="Actual Schedule 1" sheetId="28" r:id="rId26"/>
    <sheet name="Projected Attachment H" sheetId="29" r:id="rId27"/>
    <sheet name="P1 (Divisor)" sheetId="30" r:id="rId28"/>
    <sheet name="P2 (Trans Plant)" sheetId="31" r:id="rId29"/>
    <sheet name="P3 (CWIP)" sheetId="32" r:id="rId30"/>
    <sheet name="P4 (DIT Averages)" sheetId="33" r:id="rId31"/>
    <sheet name="P5 (ADIT Balances)" sheetId="34" r:id="rId32"/>
    <sheet name="P6 (Excess and Deficient DIT)" sheetId="35" r:id="rId33"/>
    <sheet name="P7 (Reg Assets Liabilities)" sheetId="36" r:id="rId34"/>
    <sheet name="P8 (Abandoned Plant)" sheetId="37" r:id="rId35"/>
    <sheet name="P9 (Expenses)" sheetId="40" r:id="rId36"/>
    <sheet name="P10 (Income Tax Rates)" sheetId="42" r:id="rId37"/>
    <sheet name="P11 (Incentive Plant)" sheetId="43" r:id="rId38"/>
    <sheet name="P12 (Allocation Factors)" sheetId="44" r:id="rId39"/>
    <sheet name="P13 (Depreciation Rates)" sheetId="45" r:id="rId40"/>
    <sheet name="P14 (Composite Depr Rate)" sheetId="48" r:id="rId41"/>
    <sheet name="P15 (True-Up Adjustment)" sheetId="27" r:id="rId42"/>
    <sheet name="Projected Sch 1" sheetId="49" r:id="rId43"/>
  </sheets>
  <definedNames>
    <definedName name="_" localSheetId="42" hidden="1">#REF!</definedName>
    <definedName name="_" hidden="1">#REF!</definedName>
    <definedName name="_BBBB">#REF!</definedName>
    <definedName name="_Fill" hidden="1">#REF!</definedName>
    <definedName name="_Order1" hidden="1">255</definedName>
    <definedName name="_Order2" hidden="1">255</definedName>
    <definedName name="BACKSOLVER">#REF!</definedName>
    <definedName name="CFSDATA">#REF!</definedName>
    <definedName name="CFSTICK">#REF!</definedName>
    <definedName name="DDDD">#REF!</definedName>
    <definedName name="des">'Actual Attachment H'!$B$7</definedName>
    <definedName name="epe">'Actual Attachment H'!$A$1</definedName>
    <definedName name="EXPLANATIONS">#REF!</definedName>
    <definedName name="FC_1">#REF!</definedName>
    <definedName name="ferc">'Actual Attachment H'!$I$7</definedName>
    <definedName name="frta">'Actual Attachment H'!$A$2</definedName>
    <definedName name="frtp">'Projected Attachment H'!$A$2</definedName>
    <definedName name="JE7534BU">#REF!</definedName>
    <definedName name="ln">'Actual Attachment H'!$A$7</definedName>
    <definedName name="note">'A3 (Revenue Credits)'!$A$49</definedName>
    <definedName name="P_1">#REF!</definedName>
    <definedName name="P_2">#REF!</definedName>
    <definedName name="P_3">#REF!</definedName>
    <definedName name="P_4">#REF!</definedName>
    <definedName name="P_5">#REF!</definedName>
    <definedName name="P_6">#REF!</definedName>
    <definedName name="_xlnm.Print_Area" localSheetId="12">'A10 (Reg Assets Liabilities)'!$A$1:$AE$44</definedName>
    <definedName name="_xlnm.Print_Area" localSheetId="13">'A11 (Abandoned Plant)'!$A$1:$AD$38</definedName>
    <definedName name="_xlnm.Print_Area" localSheetId="16">'A14 (Land Held for Future Use)'!$A$1:$V$31</definedName>
    <definedName name="_xlnm.Print_Area" localSheetId="17">'A15 (Working Capital)'!$A$1:$F$32</definedName>
    <definedName name="_xlnm.Print_Area" localSheetId="18">'A16 (Operating Expenses)'!$A$1:$I$40</definedName>
    <definedName name="_xlnm.Print_Area" localSheetId="20">'A18 (Cost of Capital)'!$A$1:$I$49</definedName>
    <definedName name="_xlnm.Print_Area" localSheetId="3">'A2 (Divisor)'!$A$1:$J$33</definedName>
    <definedName name="_xlnm.Print_Area" localSheetId="22">'A20 (Permanent Differences)'!$A$1:$G$46</definedName>
    <definedName name="_xlnm.Print_Area" localSheetId="4">'A3 (Revenue Credits)'!$A$1:$O$61</definedName>
    <definedName name="_xlnm.Print_Area" localSheetId="5">'A3-1 (Incr PV Rev Cred)'!$A$1:$E$33</definedName>
    <definedName name="_xlnm.Print_Area" localSheetId="6">'A4 (Plant)'!$A$1:$J$83</definedName>
    <definedName name="_xlnm.Print_Area" localSheetId="7">'A5 (Excluded Trans Plant)'!$A$1:$Q$30</definedName>
    <definedName name="_xlnm.Print_Area" localSheetId="8">'A6 (CWIP)'!$A$1:$X$28</definedName>
    <definedName name="_xlnm.Print_Area" localSheetId="9">'A7 (DIT Averages)'!$A$1:$R$151</definedName>
    <definedName name="_xlnm.Print_Area" localSheetId="10">'A8 (ADIT Balances)'!$A$1:$AF$83,'A8 (ADIT Balances)'!$A$84:$B$94</definedName>
    <definedName name="_xlnm.Print_Area" localSheetId="11">'A9 (Excess and Deficient DIT)'!$A$1:$AI$52</definedName>
    <definedName name="_xlnm.Print_Area" localSheetId="25">'Actual Schedule 1'!$A$1:$E$35</definedName>
    <definedName name="_xlnm.Print_Area" localSheetId="40">'P14 (Composite Depr Rate)'!$A$1:$F$23</definedName>
    <definedName name="_xlnm.Print_Area" localSheetId="28">'P2 (Trans Plant)'!$A$1:$L$54</definedName>
    <definedName name="_xlnm.Print_Area" localSheetId="29">'P3 (CWIP)'!$A$1:$X$28</definedName>
    <definedName name="_xlnm.Print_Area" localSheetId="42">'Projected Sch 1'!$A$1:$E$28</definedName>
    <definedName name="_xlnm.Print_Titles" localSheetId="2">'A1 (FF1 Inputs)'!$1:$11</definedName>
    <definedName name="_xlnm.Print_Titles" localSheetId="12">'A10 (Reg Assets Liabilities)'!$A:$C</definedName>
    <definedName name="_xlnm.Print_Titles" localSheetId="13">'A11 (Abandoned Plant)'!$A:$F</definedName>
    <definedName name="_xlnm.Print_Titles" localSheetId="14">'A12 (Unfunded Reserves)'!$A:$E</definedName>
    <definedName name="_xlnm.Print_Titles" localSheetId="15">'A13 (Hold Harmless Adjustment)'!$A:$D</definedName>
    <definedName name="_xlnm.Print_Titles" localSheetId="16">'A14 (Land Held for Future Use)'!$A:$D</definedName>
    <definedName name="_xlnm.Print_Titles" localSheetId="19">'A17 (Taxes Other)'!$1:$10</definedName>
    <definedName name="_xlnm.Print_Titles" localSheetId="23">'A21 (Incentive Plant)'!$A:$D</definedName>
    <definedName name="_xlnm.Print_Titles" localSheetId="6">'A4 (Plant)'!$1:$10</definedName>
    <definedName name="_xlnm.Print_Titles" localSheetId="7">'A5 (Excluded Trans Plant)'!$A:$C</definedName>
    <definedName name="_xlnm.Print_Titles" localSheetId="8">'A6 (CWIP)'!$A:$F</definedName>
    <definedName name="_xlnm.Print_Titles" localSheetId="9">'A7 (DIT Averages)'!$1:$11</definedName>
    <definedName name="_xlnm.Print_Titles" localSheetId="10">'A8 (ADIT Balances)'!$A:$B,'A8 (ADIT Balances)'!$1:$11</definedName>
    <definedName name="_xlnm.Print_Titles" localSheetId="11">'A9 (Excess and Deficient DIT)'!$A:$B,'A9 (Excess and Deficient DIT)'!$1:$11</definedName>
    <definedName name="_xlnm.Print_Titles" localSheetId="1">'Actual Attachment H'!$1:$11</definedName>
    <definedName name="_xlnm.Print_Titles" localSheetId="37">'P11 (Incentive Plant)'!$A:$D</definedName>
    <definedName name="_xlnm.Print_Titles" localSheetId="39">'P13 (Depreciation Rates)'!$1:$11</definedName>
    <definedName name="_xlnm.Print_Titles" localSheetId="41">'P15 (True-Up Adjustment)'!$1:$10</definedName>
    <definedName name="_xlnm.Print_Titles" localSheetId="28">'P2 (Trans Plant)'!$1:$10</definedName>
    <definedName name="_xlnm.Print_Titles" localSheetId="29">'P3 (CWIP)'!$A:$F</definedName>
    <definedName name="_xlnm.Print_Titles" localSheetId="30">'P4 (DIT Averages)'!$1:$11</definedName>
    <definedName name="_xlnm.Print_Titles" localSheetId="31">'P5 (ADIT Balances)'!$A:$B,'P5 (ADIT Balances)'!$1:$11</definedName>
    <definedName name="_xlnm.Print_Titles" localSheetId="32">'P6 (Excess and Deficient DIT)'!$A:$B</definedName>
    <definedName name="_xlnm.Print_Titles" localSheetId="33">'P7 (Reg Assets Liabilities)'!$A:$C</definedName>
    <definedName name="_xlnm.Print_Titles" localSheetId="34">'P8 (Abandoned Plant)'!$A:$F</definedName>
    <definedName name="_xlnm.Print_Titles" localSheetId="35">'P9 (Expenses)'!$1:$10</definedName>
    <definedName name="_xlnm.Print_Titles" localSheetId="26">'Projected Attachment H'!$1:$11</definedName>
    <definedName name="RECON101">#REF!</definedName>
    <definedName name="ref">'Actual Attachment H'!$C$7</definedName>
    <definedName name="tot">'Actual Attachment H'!$D$7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 i="48" l="1"/>
  <c r="F16" i="48" l="1"/>
  <c r="E18" i="48"/>
  <c r="F18" i="48" s="1"/>
  <c r="E17" i="48"/>
  <c r="E19" i="48"/>
  <c r="F19" i="48" s="1"/>
  <c r="E20" i="48"/>
  <c r="B33" i="35" l="1"/>
  <c r="B21" i="35"/>
  <c r="B33" i="25"/>
  <c r="B21" i="25"/>
  <c r="C30" i="5"/>
  <c r="D30" i="5"/>
  <c r="J44" i="3" l="1"/>
  <c r="A20" i="29"/>
  <c r="A20" i="1"/>
  <c r="A19" i="1"/>
  <c r="G94" i="2" l="1"/>
  <c r="A60" i="45" l="1"/>
  <c r="A61" i="45" s="1"/>
  <c r="A62" i="45" s="1"/>
  <c r="A63" i="45" s="1"/>
  <c r="A64" i="45" s="1"/>
  <c r="A65" i="45" s="1"/>
  <c r="A66" i="45" s="1"/>
  <c r="A57" i="45"/>
  <c r="A58" i="45" s="1"/>
  <c r="A59" i="45" s="1"/>
  <c r="D33" i="28" l="1"/>
  <c r="D32" i="28"/>
  <c r="D27" i="28"/>
  <c r="D27" i="49"/>
  <c r="D26" i="49"/>
  <c r="D21" i="49"/>
  <c r="G95" i="2" l="1"/>
  <c r="G96" i="2"/>
  <c r="D103" i="1" s="1"/>
  <c r="G97" i="2"/>
  <c r="G98" i="2"/>
  <c r="G99" i="2"/>
  <c r="G55" i="2"/>
  <c r="G56" i="2"/>
  <c r="G57" i="2"/>
  <c r="G58" i="2"/>
  <c r="G59" i="2"/>
  <c r="G60" i="2"/>
  <c r="G54" i="2"/>
  <c r="D104" i="1" l="1"/>
  <c r="H21" i="16"/>
  <c r="E13" i="48"/>
  <c r="E17" i="50"/>
  <c r="H13" i="18" l="1"/>
  <c r="H14" i="18"/>
  <c r="H15" i="18"/>
  <c r="H16" i="18"/>
  <c r="H17" i="18"/>
  <c r="H18" i="18"/>
  <c r="H19" i="18"/>
  <c r="H20" i="18"/>
  <c r="H21" i="18"/>
  <c r="H22" i="18"/>
  <c r="H23" i="18"/>
  <c r="H12" i="18"/>
  <c r="H19" i="16" l="1"/>
  <c r="A15" i="47" l="1"/>
  <c r="A16" i="47" s="1"/>
  <c r="A17" i="47" s="1"/>
  <c r="A18" i="47" s="1"/>
  <c r="A19" i="47" s="1"/>
  <c r="A20" i="47" s="1"/>
  <c r="A21" i="47" s="1"/>
  <c r="A22" i="47" s="1"/>
  <c r="A23" i="47" s="1"/>
  <c r="A24" i="47" s="1"/>
  <c r="A25" i="47" s="1"/>
  <c r="A26" i="47" s="1"/>
  <c r="A27" i="47" s="1"/>
  <c r="A28" i="47" s="1"/>
  <c r="A29" i="47" s="1"/>
  <c r="A30" i="47" s="1"/>
  <c r="A31" i="47" s="1"/>
  <c r="A32" i="47" s="1"/>
  <c r="A33" i="47" s="1"/>
  <c r="A34" i="47" s="1"/>
  <c r="A35" i="47" s="1"/>
  <c r="A36" i="47" s="1"/>
  <c r="A37" i="47" s="1"/>
  <c r="A38" i="47" s="1"/>
  <c r="A39" i="47" s="1"/>
  <c r="A40" i="47" s="1"/>
  <c r="A41" i="47" s="1"/>
  <c r="A42" i="47" s="1"/>
  <c r="A43" i="47" s="1"/>
  <c r="A44" i="47" s="1"/>
  <c r="A45" i="47" s="1"/>
  <c r="A46" i="47" s="1"/>
  <c r="A47" i="47" s="1"/>
  <c r="A48" i="47" s="1"/>
  <c r="A49" i="47" s="1"/>
  <c r="A50" i="47" s="1"/>
  <c r="A51" i="47" s="1"/>
  <c r="A14" i="47"/>
  <c r="C14" i="47"/>
  <c r="E14" i="47"/>
  <c r="A13" i="50"/>
  <c r="A14" i="50" s="1"/>
  <c r="A15" i="50" s="1"/>
  <c r="A16" i="50" s="1"/>
  <c r="A17" i="50" s="1"/>
  <c r="A18" i="50" s="1"/>
  <c r="A19" i="50" s="1"/>
  <c r="A20" i="50" s="1"/>
  <c r="A21" i="50" s="1"/>
  <c r="A22" i="50" s="1"/>
  <c r="A23" i="50" s="1"/>
  <c r="A24" i="50" s="1"/>
  <c r="A25" i="50" s="1"/>
  <c r="A26" i="50" s="1"/>
  <c r="A27" i="50" s="1"/>
  <c r="A28" i="50" s="1"/>
  <c r="E25" i="50"/>
  <c r="E26" i="50" s="1"/>
  <c r="A4" i="50" l="1"/>
  <c r="A2" i="50"/>
  <c r="A1" i="50"/>
  <c r="E18" i="50" l="1"/>
  <c r="E28" i="50" s="1"/>
  <c r="D19" i="1" l="1"/>
  <c r="O44" i="3"/>
  <c r="H19" i="42"/>
  <c r="C19" i="42"/>
  <c r="C19" i="16"/>
  <c r="I19" i="1" l="1"/>
  <c r="I19" i="29" s="1"/>
  <c r="D19" i="29"/>
  <c r="E14" i="48"/>
  <c r="E15" i="48"/>
  <c r="E11" i="48"/>
  <c r="A78" i="45"/>
  <c r="I74" i="45"/>
  <c r="G74" i="45"/>
  <c r="I73" i="45"/>
  <c r="G73" i="45"/>
  <c r="I72" i="45"/>
  <c r="G72" i="45"/>
  <c r="I71" i="45"/>
  <c r="G71" i="45"/>
  <c r="I70" i="45"/>
  <c r="G70" i="45"/>
  <c r="I69" i="45"/>
  <c r="G69" i="45"/>
  <c r="A14" i="45"/>
  <c r="A15" i="45" s="1"/>
  <c r="A16" i="45" s="1"/>
  <c r="A17" i="45" s="1"/>
  <c r="A18" i="45" s="1"/>
  <c r="A21" i="45" s="1"/>
  <c r="A22" i="45" s="1"/>
  <c r="A23" i="45" s="1"/>
  <c r="A24" i="45" s="1"/>
  <c r="A25" i="45" s="1"/>
  <c r="A26" i="45" s="1"/>
  <c r="A28" i="45" s="1"/>
  <c r="A29" i="45" s="1"/>
  <c r="A30" i="45" s="1"/>
  <c r="A31" i="45" s="1"/>
  <c r="A32" i="45" s="1"/>
  <c r="A33" i="45" s="1"/>
  <c r="A34" i="45" s="1"/>
  <c r="A35" i="45" s="1"/>
  <c r="A39" i="45" s="1"/>
  <c r="A40" i="45" s="1"/>
  <c r="A41" i="45" s="1"/>
  <c r="A42" i="45" s="1"/>
  <c r="A43" i="45" s="1"/>
  <c r="A44" i="45" s="1"/>
  <c r="A45" i="45" s="1"/>
  <c r="A46" i="45" s="1"/>
  <c r="A47" i="45" s="1"/>
  <c r="A48" i="45" s="1"/>
  <c r="A49" i="45" s="1"/>
  <c r="A50" i="45" s="1"/>
  <c r="A53" i="45" s="1"/>
  <c r="A54" i="45" s="1"/>
  <c r="A55" i="45" s="1"/>
  <c r="A56" i="45" s="1"/>
  <c r="A69" i="45" s="1"/>
  <c r="A70" i="45" s="1"/>
  <c r="A71" i="45" s="1"/>
  <c r="A72" i="45" s="1"/>
  <c r="A73" i="45" s="1"/>
  <c r="A74" i="45" s="1"/>
  <c r="A7" i="45"/>
  <c r="A2" i="45"/>
  <c r="A1" i="45"/>
  <c r="E33" i="47" l="1"/>
  <c r="E34" i="47"/>
  <c r="A4" i="16"/>
  <c r="A4" i="42"/>
  <c r="A4" i="49"/>
  <c r="C51" i="47"/>
  <c r="C50" i="47"/>
  <c r="E51" i="47"/>
  <c r="A12" i="49"/>
  <c r="A14" i="49" s="1"/>
  <c r="A16" i="49" s="1"/>
  <c r="A7" i="49"/>
  <c r="A2" i="49"/>
  <c r="A1" i="49"/>
  <c r="A107" i="27"/>
  <c r="B112" i="27"/>
  <c r="E112" i="27"/>
  <c r="E113" i="27" s="1"/>
  <c r="F112" i="27"/>
  <c r="F113" i="27" s="1"/>
  <c r="B113" i="27"/>
  <c r="C34" i="47"/>
  <c r="A18" i="49" l="1"/>
  <c r="A21" i="49" s="1"/>
  <c r="D22" i="49" l="1"/>
  <c r="A22" i="49"/>
  <c r="A23" i="49" s="1"/>
  <c r="D23" i="49"/>
  <c r="D24" i="49" l="1"/>
  <c r="A24" i="49"/>
  <c r="D25" i="49"/>
  <c r="A25" i="49" l="1"/>
  <c r="A26" i="49" l="1"/>
  <c r="A27" i="49" s="1"/>
  <c r="D7" i="48" l="1"/>
  <c r="A194" i="2" l="1"/>
  <c r="R30" i="35"/>
  <c r="C30" i="35"/>
  <c r="D30" i="35" s="1"/>
  <c r="Q30" i="25"/>
  <c r="AB30" i="25" s="1"/>
  <c r="A28" i="42"/>
  <c r="G17" i="42"/>
  <c r="D13" i="42" s="1"/>
  <c r="D17" i="42" s="1"/>
  <c r="H17" i="42" s="1"/>
  <c r="F17" i="42"/>
  <c r="E17" i="42"/>
  <c r="A13" i="42"/>
  <c r="A15" i="42" s="1"/>
  <c r="A28" i="16"/>
  <c r="G17" i="16"/>
  <c r="F17" i="16"/>
  <c r="E17" i="16"/>
  <c r="D13" i="16" s="1"/>
  <c r="D17" i="16" s="1"/>
  <c r="H17" i="16" s="1"/>
  <c r="A13" i="16"/>
  <c r="E30" i="35" l="1"/>
  <c r="T30" i="35"/>
  <c r="S30" i="35"/>
  <c r="Y30" i="25"/>
  <c r="AC30" i="25"/>
  <c r="AD30" i="25"/>
  <c r="W30" i="25"/>
  <c r="X30" i="25"/>
  <c r="Z30" i="25"/>
  <c r="S30" i="25"/>
  <c r="AA30" i="25"/>
  <c r="U30" i="25"/>
  <c r="V30" i="25"/>
  <c r="R30" i="25"/>
  <c r="T30" i="25"/>
  <c r="H21" i="42"/>
  <c r="H25" i="42" s="1"/>
  <c r="A17" i="42"/>
  <c r="C17" i="42"/>
  <c r="A15" i="16"/>
  <c r="H25" i="16" l="1"/>
  <c r="F27" i="19"/>
  <c r="C27" i="19"/>
  <c r="D130" i="29"/>
  <c r="I130" i="29"/>
  <c r="F30" i="35"/>
  <c r="U30" i="35"/>
  <c r="AE30" i="25"/>
  <c r="C13" i="42"/>
  <c r="A19" i="42"/>
  <c r="A21" i="42" s="1"/>
  <c r="B29" i="42"/>
  <c r="C17" i="16"/>
  <c r="A17" i="16"/>
  <c r="I128" i="1" l="1"/>
  <c r="D128" i="1"/>
  <c r="V30" i="35"/>
  <c r="G30" i="35"/>
  <c r="C21" i="42"/>
  <c r="A23" i="42"/>
  <c r="A25" i="42" s="1"/>
  <c r="C130" i="29" s="1"/>
  <c r="A19" i="16"/>
  <c r="A21" i="16" s="1"/>
  <c r="C13" i="16"/>
  <c r="B29" i="16"/>
  <c r="C21" i="16" l="1"/>
  <c r="W30" i="35"/>
  <c r="H30" i="35"/>
  <c r="C25" i="42"/>
  <c r="A23" i="16"/>
  <c r="A25" i="16" s="1"/>
  <c r="C128" i="1" s="1"/>
  <c r="X30" i="35" l="1"/>
  <c r="I30" i="35"/>
  <c r="C25" i="16"/>
  <c r="Y30" i="35" l="1"/>
  <c r="J30" i="35"/>
  <c r="K30" i="35" l="1"/>
  <c r="Z30" i="35"/>
  <c r="L30" i="35" l="1"/>
  <c r="AA30" i="35"/>
  <c r="M30" i="35" l="1"/>
  <c r="AB30" i="35"/>
  <c r="N30" i="35" l="1"/>
  <c r="AC30" i="35"/>
  <c r="AD30" i="35" l="1"/>
  <c r="O30" i="35"/>
  <c r="AE30" i="35" s="1"/>
  <c r="AF30" i="35" s="1"/>
  <c r="B25" i="26" l="1"/>
  <c r="B21" i="26"/>
  <c r="B37" i="5"/>
  <c r="B31" i="43"/>
  <c r="B35" i="37"/>
  <c r="B41" i="36"/>
  <c r="B49" i="35"/>
  <c r="B89" i="34"/>
  <c r="B26" i="32"/>
  <c r="B45" i="31"/>
  <c r="B32" i="30"/>
  <c r="B152" i="29"/>
  <c r="B31" i="22"/>
  <c r="B42" i="19"/>
  <c r="B41" i="19"/>
  <c r="B28" i="9"/>
  <c r="B30" i="20"/>
  <c r="B42" i="12" l="1"/>
  <c r="B35" i="11"/>
  <c r="B41" i="8"/>
  <c r="B49" i="25"/>
  <c r="B92" i="13"/>
  <c r="B144" i="24"/>
  <c r="B26" i="10"/>
  <c r="B150" i="1" l="1"/>
  <c r="E49" i="47"/>
  <c r="A7" i="48" l="1"/>
  <c r="A4" i="48"/>
  <c r="A14" i="48"/>
  <c r="A15" i="48" s="1"/>
  <c r="A16" i="48" s="1"/>
  <c r="A17" i="48" s="1"/>
  <c r="A18" i="48" s="1"/>
  <c r="A19" i="48" s="1"/>
  <c r="A20" i="48" s="1"/>
  <c r="A21" i="48" s="1"/>
  <c r="B23" i="48" s="1"/>
  <c r="A2" i="48" l="1"/>
  <c r="B7" i="42" l="1"/>
  <c r="A7" i="42"/>
  <c r="A2" i="42"/>
  <c r="A1" i="42"/>
  <c r="B7" i="16"/>
  <c r="A7" i="16"/>
  <c r="A2" i="16"/>
  <c r="A1" i="16"/>
  <c r="D129" i="1" l="1"/>
  <c r="I129" i="1"/>
  <c r="A1" i="48" l="1"/>
  <c r="F13" i="48"/>
  <c r="F14" i="48" l="1"/>
  <c r="F20" i="48" l="1"/>
  <c r="F17" i="48"/>
  <c r="F15" i="48"/>
  <c r="D21" i="48" l="1"/>
  <c r="E90" i="2" l="1"/>
  <c r="E88" i="2"/>
  <c r="P35" i="35"/>
  <c r="P37" i="35"/>
  <c r="P33" i="35"/>
  <c r="P23" i="35"/>
  <c r="P25" i="35"/>
  <c r="P43" i="35" s="1"/>
  <c r="P21" i="35"/>
  <c r="C31" i="35"/>
  <c r="D31" i="35" s="1"/>
  <c r="E31" i="35" s="1"/>
  <c r="F31" i="35" s="1"/>
  <c r="G31" i="35" s="1"/>
  <c r="H31" i="35" s="1"/>
  <c r="I31" i="35" s="1"/>
  <c r="J31" i="35" s="1"/>
  <c r="K31" i="35" s="1"/>
  <c r="L31" i="35" s="1"/>
  <c r="M31" i="35" s="1"/>
  <c r="N31" i="35" s="1"/>
  <c r="O31" i="35" s="1"/>
  <c r="D28" i="25"/>
  <c r="E28" i="25" s="1"/>
  <c r="F28" i="25" s="1"/>
  <c r="G28" i="25" s="1"/>
  <c r="H28" i="25" s="1"/>
  <c r="I28" i="25" s="1"/>
  <c r="J28" i="25" s="1"/>
  <c r="K28" i="25" s="1"/>
  <c r="L28" i="25" s="1"/>
  <c r="M28" i="25" s="1"/>
  <c r="N28" i="25" s="1"/>
  <c r="D16" i="25"/>
  <c r="E16" i="25" s="1"/>
  <c r="F16" i="25" s="1"/>
  <c r="G16" i="25" s="1"/>
  <c r="H16" i="25" s="1"/>
  <c r="I16" i="25" s="1"/>
  <c r="J16" i="25" s="1"/>
  <c r="K16" i="25" s="1"/>
  <c r="L16" i="25" s="1"/>
  <c r="M16" i="25" s="1"/>
  <c r="N16" i="25" s="1"/>
  <c r="D15" i="25"/>
  <c r="E15" i="25" s="1"/>
  <c r="F15" i="25" s="1"/>
  <c r="G15" i="25" s="1"/>
  <c r="H15" i="25" s="1"/>
  <c r="I15" i="25" s="1"/>
  <c r="J15" i="25" s="1"/>
  <c r="K15" i="25" s="1"/>
  <c r="L15" i="25" s="1"/>
  <c r="M15" i="25" s="1"/>
  <c r="N15" i="25" s="1"/>
  <c r="D13" i="25"/>
  <c r="E13" i="25" s="1"/>
  <c r="F13" i="25" s="1"/>
  <c r="G13" i="25" s="1"/>
  <c r="H13" i="25" s="1"/>
  <c r="I13" i="25" s="1"/>
  <c r="J13" i="25" s="1"/>
  <c r="K13" i="25" s="1"/>
  <c r="L13" i="25" s="1"/>
  <c r="M13" i="25" s="1"/>
  <c r="N13" i="25" s="1"/>
  <c r="D18" i="25"/>
  <c r="E18" i="25" s="1"/>
  <c r="F18" i="25" s="1"/>
  <c r="G18" i="25" s="1"/>
  <c r="H18" i="25" s="1"/>
  <c r="I18" i="25" s="1"/>
  <c r="J18" i="25" s="1"/>
  <c r="K18" i="25" s="1"/>
  <c r="L18" i="25" s="1"/>
  <c r="M18" i="25" s="1"/>
  <c r="N18" i="25" s="1"/>
  <c r="P39" i="35" l="1"/>
  <c r="P41" i="35"/>
  <c r="E47" i="15" l="1"/>
  <c r="B47" i="15"/>
  <c r="H52" i="27"/>
  <c r="H51" i="27"/>
  <c r="H50" i="27"/>
  <c r="H49" i="27"/>
  <c r="H48" i="27"/>
  <c r="H47" i="27"/>
  <c r="H46" i="27"/>
  <c r="H45" i="27"/>
  <c r="H44" i="27"/>
  <c r="H43" i="27"/>
  <c r="H42" i="27"/>
  <c r="H41" i="27"/>
  <c r="H34" i="27"/>
  <c r="H35" i="27"/>
  <c r="H36" i="27"/>
  <c r="H37" i="27"/>
  <c r="H38" i="27"/>
  <c r="H33" i="27"/>
  <c r="C66" i="1"/>
  <c r="S14" i="12"/>
  <c r="S15" i="12"/>
  <c r="S16" i="12"/>
  <c r="S17" i="12"/>
  <c r="S18" i="12"/>
  <c r="S19" i="12"/>
  <c r="S20" i="12"/>
  <c r="S21" i="12"/>
  <c r="S22" i="12"/>
  <c r="S23" i="12"/>
  <c r="S24" i="12"/>
  <c r="S25" i="12"/>
  <c r="S26" i="12"/>
  <c r="S27" i="12"/>
  <c r="S28" i="12"/>
  <c r="S29" i="12"/>
  <c r="S30" i="12"/>
  <c r="S31" i="12"/>
  <c r="S32" i="12"/>
  <c r="S33" i="12"/>
  <c r="R35" i="12"/>
  <c r="C48" i="47"/>
  <c r="C47" i="47"/>
  <c r="C46" i="47"/>
  <c r="C45" i="47"/>
  <c r="C44" i="47"/>
  <c r="C43" i="47"/>
  <c r="C42" i="47"/>
  <c r="C41" i="47"/>
  <c r="C40" i="47"/>
  <c r="C39" i="47"/>
  <c r="C38" i="47"/>
  <c r="C37" i="47"/>
  <c r="C36" i="47"/>
  <c r="C33" i="47"/>
  <c r="C31" i="47"/>
  <c r="C32" i="47"/>
  <c r="C30" i="47"/>
  <c r="C29" i="47"/>
  <c r="C28" i="47"/>
  <c r="C27" i="47"/>
  <c r="C26" i="47"/>
  <c r="C25" i="47"/>
  <c r="C24" i="47"/>
  <c r="C23" i="47"/>
  <c r="C22" i="47"/>
  <c r="C21" i="47"/>
  <c r="C20" i="47"/>
  <c r="C19" i="47"/>
  <c r="C18" i="47"/>
  <c r="C17" i="47"/>
  <c r="C16" i="47"/>
  <c r="C15" i="47"/>
  <c r="C13" i="47"/>
  <c r="C12" i="47"/>
  <c r="C11" i="47"/>
  <c r="E11" i="47"/>
  <c r="E12" i="47"/>
  <c r="E13" i="47"/>
  <c r="E15" i="47"/>
  <c r="E16" i="47"/>
  <c r="E17" i="47"/>
  <c r="E18" i="47"/>
  <c r="E19" i="47"/>
  <c r="E20" i="47"/>
  <c r="E21" i="47"/>
  <c r="E22" i="47"/>
  <c r="E23" i="47"/>
  <c r="E24" i="47"/>
  <c r="E25" i="47"/>
  <c r="E26" i="47"/>
  <c r="E27" i="47"/>
  <c r="E28" i="47"/>
  <c r="E29" i="47"/>
  <c r="E30" i="47"/>
  <c r="E31" i="47"/>
  <c r="E32" i="47"/>
  <c r="E35" i="47"/>
  <c r="E36" i="47"/>
  <c r="E37" i="47"/>
  <c r="E38" i="47"/>
  <c r="E39" i="47"/>
  <c r="E40" i="47"/>
  <c r="E41" i="47"/>
  <c r="E42" i="47"/>
  <c r="E43" i="47"/>
  <c r="E44" i="47"/>
  <c r="E45" i="47"/>
  <c r="E46" i="47"/>
  <c r="E47" i="47"/>
  <c r="E48" i="47"/>
  <c r="E50" i="47"/>
  <c r="E10" i="47"/>
  <c r="A11" i="47"/>
  <c r="A12" i="47" s="1"/>
  <c r="A13" i="47" s="1"/>
  <c r="A6" i="47"/>
  <c r="D39" i="40"/>
  <c r="B39" i="40"/>
  <c r="F23" i="40"/>
  <c r="C48" i="40"/>
  <c r="A45" i="40" l="1"/>
  <c r="D33" i="40"/>
  <c r="D34" i="40"/>
  <c r="D35" i="40"/>
  <c r="D36" i="40"/>
  <c r="D37" i="40"/>
  <c r="A16" i="40"/>
  <c r="C88" i="29" s="1"/>
  <c r="A15" i="40"/>
  <c r="C87" i="29" s="1"/>
  <c r="A14" i="40"/>
  <c r="A7" i="40"/>
  <c r="A4" i="40"/>
  <c r="A2" i="40"/>
  <c r="A1" i="40"/>
  <c r="B52" i="31"/>
  <c r="B44" i="31"/>
  <c r="B51" i="31"/>
  <c r="B43" i="31"/>
  <c r="B23" i="32"/>
  <c r="A42" i="31"/>
  <c r="C25" i="31"/>
  <c r="C26" i="31"/>
  <c r="C27" i="31"/>
  <c r="C28" i="31"/>
  <c r="C29" i="31"/>
  <c r="C30" i="31"/>
  <c r="C31" i="31"/>
  <c r="C32" i="31"/>
  <c r="C33" i="31"/>
  <c r="C34" i="31"/>
  <c r="C35" i="31"/>
  <c r="C24" i="31"/>
  <c r="C13" i="31"/>
  <c r="C14" i="31"/>
  <c r="C15" i="31"/>
  <c r="C16" i="31"/>
  <c r="C17" i="31"/>
  <c r="C18" i="31"/>
  <c r="C19" i="31"/>
  <c r="C20" i="31"/>
  <c r="C21" i="31"/>
  <c r="C22" i="31"/>
  <c r="C23" i="31"/>
  <c r="C12" i="31"/>
  <c r="C11" i="31" s="1"/>
  <c r="A12" i="31"/>
  <c r="A13" i="31" s="1"/>
  <c r="A14" i="31" s="1"/>
  <c r="A15" i="31" s="1"/>
  <c r="A16" i="31" s="1"/>
  <c r="A7" i="31"/>
  <c r="A4" i="31"/>
  <c r="A2" i="31"/>
  <c r="A1" i="31"/>
  <c r="C142" i="29"/>
  <c r="I13" i="43"/>
  <c r="I14" i="43"/>
  <c r="I15" i="43"/>
  <c r="I16" i="43"/>
  <c r="I17" i="43"/>
  <c r="I18" i="43"/>
  <c r="AL18" i="43" s="1"/>
  <c r="I12" i="43"/>
  <c r="L13" i="37"/>
  <c r="L14" i="37"/>
  <c r="L15" i="37"/>
  <c r="L16" i="37"/>
  <c r="L17" i="37"/>
  <c r="L18" i="37"/>
  <c r="AC18" i="37" s="1"/>
  <c r="L12" i="37"/>
  <c r="AI8" i="43"/>
  <c r="AH8" i="43"/>
  <c r="AG8" i="43"/>
  <c r="AF8" i="43"/>
  <c r="AE8" i="43"/>
  <c r="AD8" i="43"/>
  <c r="AC8" i="43"/>
  <c r="AB8" i="43"/>
  <c r="AA8" i="43"/>
  <c r="Z8" i="43"/>
  <c r="Y8" i="43"/>
  <c r="X8" i="43"/>
  <c r="W8" i="43"/>
  <c r="V8" i="43"/>
  <c r="U8" i="43"/>
  <c r="T8" i="43"/>
  <c r="S8" i="43"/>
  <c r="R8" i="43"/>
  <c r="Q8" i="43"/>
  <c r="P8" i="43"/>
  <c r="O8" i="43"/>
  <c r="N8" i="43"/>
  <c r="M8" i="43"/>
  <c r="L8" i="43"/>
  <c r="K8" i="43"/>
  <c r="J8" i="43"/>
  <c r="A4" i="43"/>
  <c r="A2" i="43"/>
  <c r="B23" i="43"/>
  <c r="A22" i="43"/>
  <c r="AI19" i="43"/>
  <c r="AH19" i="43"/>
  <c r="AG19" i="43"/>
  <c r="AF19" i="43"/>
  <c r="AE19" i="43"/>
  <c r="AD19" i="43"/>
  <c r="AC19" i="43"/>
  <c r="AB19" i="43"/>
  <c r="AA19" i="43"/>
  <c r="Z19" i="43"/>
  <c r="Y19" i="43"/>
  <c r="X19" i="43"/>
  <c r="W19" i="43"/>
  <c r="V19" i="43"/>
  <c r="U19" i="43"/>
  <c r="T19" i="43"/>
  <c r="S19" i="43"/>
  <c r="R19" i="43"/>
  <c r="Q19" i="43"/>
  <c r="P19" i="43"/>
  <c r="O19" i="43"/>
  <c r="N19" i="43"/>
  <c r="M19" i="43"/>
  <c r="L19" i="43"/>
  <c r="K19" i="43"/>
  <c r="J19" i="43"/>
  <c r="B19" i="43"/>
  <c r="AK18" i="43"/>
  <c r="AJ18" i="43"/>
  <c r="AK17" i="43"/>
  <c r="AJ17" i="43"/>
  <c r="AK16" i="43"/>
  <c r="AJ16" i="43"/>
  <c r="AK15" i="43"/>
  <c r="AJ15" i="43"/>
  <c r="AK14" i="43"/>
  <c r="AJ14" i="43"/>
  <c r="AK13" i="43"/>
  <c r="AJ13" i="43"/>
  <c r="AK12" i="43"/>
  <c r="AK19" i="43" s="1"/>
  <c r="AJ12" i="43"/>
  <c r="AK9" i="43"/>
  <c r="AJ9" i="43"/>
  <c r="A7" i="43"/>
  <c r="AQ1" i="43"/>
  <c r="AJ1" i="43"/>
  <c r="Z1" i="43"/>
  <c r="O1" i="43"/>
  <c r="A1" i="43"/>
  <c r="AI8" i="22"/>
  <c r="AH8" i="22"/>
  <c r="AG8" i="22"/>
  <c r="AF8" i="22"/>
  <c r="AE8" i="22"/>
  <c r="AD8" i="22"/>
  <c r="AC8" i="22"/>
  <c r="AB8" i="22"/>
  <c r="AA8" i="22"/>
  <c r="Z8" i="22"/>
  <c r="Y8" i="22"/>
  <c r="X8" i="22"/>
  <c r="W8" i="22"/>
  <c r="O1" i="22"/>
  <c r="Z1" i="22"/>
  <c r="AJ1" i="22"/>
  <c r="AQ1" i="22"/>
  <c r="N1" i="20"/>
  <c r="W1" i="20"/>
  <c r="N1" i="12"/>
  <c r="V1" i="12"/>
  <c r="C107" i="29"/>
  <c r="C67" i="29"/>
  <c r="Z8" i="37"/>
  <c r="Y8" i="37"/>
  <c r="X8" i="37"/>
  <c r="W8" i="37"/>
  <c r="V8" i="37"/>
  <c r="U8" i="37"/>
  <c r="T8" i="37"/>
  <c r="S8" i="37"/>
  <c r="R8" i="37"/>
  <c r="Q8" i="37"/>
  <c r="P8" i="37"/>
  <c r="O8" i="37"/>
  <c r="N8" i="37"/>
  <c r="A4" i="37"/>
  <c r="A2" i="37"/>
  <c r="B31" i="37"/>
  <c r="B27" i="37"/>
  <c r="B23" i="37"/>
  <c r="A22" i="37"/>
  <c r="Z19" i="37"/>
  <c r="Y19" i="37"/>
  <c r="X19" i="37"/>
  <c r="W19" i="37"/>
  <c r="V19" i="37"/>
  <c r="U19" i="37"/>
  <c r="T19" i="37"/>
  <c r="S19" i="37"/>
  <c r="R19" i="37"/>
  <c r="Q19" i="37"/>
  <c r="P19" i="37"/>
  <c r="O19" i="37"/>
  <c r="N19" i="37"/>
  <c r="E19" i="37"/>
  <c r="B19" i="37"/>
  <c r="AA18" i="37"/>
  <c r="G18" i="37"/>
  <c r="H18" i="37" s="1"/>
  <c r="AA17" i="37"/>
  <c r="G17" i="37"/>
  <c r="AA16" i="37"/>
  <c r="G16" i="37"/>
  <c r="H16" i="37" s="1"/>
  <c r="I16" i="37" s="1"/>
  <c r="AA15" i="37"/>
  <c r="G15" i="37"/>
  <c r="AA14" i="37"/>
  <c r="G14" i="37"/>
  <c r="H14" i="37" s="1"/>
  <c r="I14" i="37" s="1"/>
  <c r="AA13" i="37"/>
  <c r="G13" i="37"/>
  <c r="H13" i="37" s="1"/>
  <c r="I13" i="37" s="1"/>
  <c r="AA12" i="37"/>
  <c r="H12" i="37"/>
  <c r="I12" i="37" s="1"/>
  <c r="G12" i="37"/>
  <c r="W7" i="37"/>
  <c r="A7" i="37"/>
  <c r="AC1" i="37"/>
  <c r="V1" i="37"/>
  <c r="M1" i="37"/>
  <c r="A1" i="37"/>
  <c r="M1" i="11"/>
  <c r="V1" i="11"/>
  <c r="AC1" i="11"/>
  <c r="AA8" i="36"/>
  <c r="Z8" i="36"/>
  <c r="Y8" i="36"/>
  <c r="X8" i="36"/>
  <c r="W8" i="36"/>
  <c r="V8" i="36"/>
  <c r="U8" i="36"/>
  <c r="T8" i="36"/>
  <c r="S8" i="36"/>
  <c r="R8" i="36"/>
  <c r="Q8" i="36"/>
  <c r="P8" i="36"/>
  <c r="O8" i="36"/>
  <c r="M18" i="36"/>
  <c r="M17" i="36"/>
  <c r="M16" i="36"/>
  <c r="M15" i="36"/>
  <c r="AD15" i="36" s="1"/>
  <c r="M14" i="36"/>
  <c r="M13" i="36"/>
  <c r="M12" i="36"/>
  <c r="A4" i="36"/>
  <c r="A2" i="36"/>
  <c r="B37" i="36"/>
  <c r="B33" i="36"/>
  <c r="B27" i="36"/>
  <c r="A26" i="36"/>
  <c r="AA23" i="36"/>
  <c r="Z23" i="36"/>
  <c r="Y23" i="36"/>
  <c r="X23" i="36"/>
  <c r="W23" i="36"/>
  <c r="V23" i="36"/>
  <c r="U23" i="36"/>
  <c r="T23" i="36"/>
  <c r="S23" i="36"/>
  <c r="R23" i="36"/>
  <c r="Q23" i="36"/>
  <c r="P23" i="36"/>
  <c r="O23" i="36"/>
  <c r="F23" i="36"/>
  <c r="AA21" i="36"/>
  <c r="Z21" i="36"/>
  <c r="Y21" i="36"/>
  <c r="X21" i="36"/>
  <c r="W21" i="36"/>
  <c r="V21" i="36"/>
  <c r="U21" i="36"/>
  <c r="T21" i="36"/>
  <c r="S21" i="36"/>
  <c r="R21" i="36"/>
  <c r="Q21" i="36"/>
  <c r="P21" i="36"/>
  <c r="O21" i="36"/>
  <c r="F21" i="36"/>
  <c r="A21" i="36"/>
  <c r="A23" i="36" s="1"/>
  <c r="C109" i="29" s="1"/>
  <c r="AA19" i="36"/>
  <c r="Z19" i="36"/>
  <c r="Y19" i="36"/>
  <c r="X19" i="36"/>
  <c r="W19" i="36"/>
  <c r="V19" i="36"/>
  <c r="U19" i="36"/>
  <c r="T19" i="36"/>
  <c r="S19" i="36"/>
  <c r="R19" i="36"/>
  <c r="Q19" i="36"/>
  <c r="P19" i="36"/>
  <c r="O19" i="36"/>
  <c r="F19" i="36"/>
  <c r="B19" i="36"/>
  <c r="AB18" i="36"/>
  <c r="H18" i="36"/>
  <c r="AB17" i="36"/>
  <c r="H17" i="36"/>
  <c r="I17" i="36" s="1"/>
  <c r="J17" i="36" s="1"/>
  <c r="AB16" i="36"/>
  <c r="I16" i="36"/>
  <c r="J16" i="36" s="1"/>
  <c r="H16" i="36"/>
  <c r="AB15" i="36"/>
  <c r="H15" i="36"/>
  <c r="AB14" i="36"/>
  <c r="H14" i="36"/>
  <c r="AB13" i="36"/>
  <c r="AB23" i="36" s="1"/>
  <c r="D66" i="29" s="1"/>
  <c r="H13" i="36"/>
  <c r="I13" i="36" s="1"/>
  <c r="AB12" i="36"/>
  <c r="H12" i="36"/>
  <c r="V7" i="36"/>
  <c r="A7" i="36"/>
  <c r="AB1" i="36"/>
  <c r="U1" i="36"/>
  <c r="N1" i="36"/>
  <c r="G1" i="36"/>
  <c r="A1" i="36"/>
  <c r="B79" i="33"/>
  <c r="B38" i="33"/>
  <c r="C115" i="33"/>
  <c r="C127" i="33" s="1"/>
  <c r="C90" i="33"/>
  <c r="C102" i="33" s="1"/>
  <c r="C63" i="33"/>
  <c r="C75" i="33" s="1"/>
  <c r="C38" i="33"/>
  <c r="C50" i="33" s="1"/>
  <c r="C13" i="33"/>
  <c r="B127" i="33"/>
  <c r="B126" i="33"/>
  <c r="B125" i="33"/>
  <c r="B124" i="33"/>
  <c r="B123" i="33"/>
  <c r="B122" i="33"/>
  <c r="B121" i="33"/>
  <c r="B120" i="33"/>
  <c r="B119" i="33"/>
  <c r="B118" i="33"/>
  <c r="B117" i="33"/>
  <c r="B116" i="33"/>
  <c r="B102" i="33"/>
  <c r="B101" i="33"/>
  <c r="B100" i="33"/>
  <c r="B99" i="33"/>
  <c r="B98" i="33"/>
  <c r="B97" i="33"/>
  <c r="B96" i="33"/>
  <c r="B95" i="33"/>
  <c r="B94" i="33"/>
  <c r="B93" i="33"/>
  <c r="B92" i="33"/>
  <c r="B91" i="33"/>
  <c r="B75" i="33"/>
  <c r="B74" i="33"/>
  <c r="B73" i="33"/>
  <c r="B72" i="33"/>
  <c r="B71" i="33"/>
  <c r="B70" i="33"/>
  <c r="B69" i="33"/>
  <c r="B68" i="33"/>
  <c r="B67" i="33"/>
  <c r="B66" i="33"/>
  <c r="B65" i="33"/>
  <c r="B64" i="33"/>
  <c r="B50" i="33"/>
  <c r="B49" i="33"/>
  <c r="B48" i="33"/>
  <c r="B47" i="33"/>
  <c r="B46" i="33"/>
  <c r="B45" i="33"/>
  <c r="B44" i="33"/>
  <c r="B43" i="33"/>
  <c r="B42" i="33"/>
  <c r="B41" i="33"/>
  <c r="B40" i="33"/>
  <c r="B39" i="33"/>
  <c r="B25" i="33"/>
  <c r="B24" i="33"/>
  <c r="B23" i="33"/>
  <c r="B22" i="33"/>
  <c r="B21" i="33"/>
  <c r="B20" i="33"/>
  <c r="B19" i="33"/>
  <c r="B18" i="33"/>
  <c r="B17" i="33"/>
  <c r="B16" i="33"/>
  <c r="B15" i="33"/>
  <c r="B14" i="33"/>
  <c r="A2" i="33"/>
  <c r="A4" i="33"/>
  <c r="A142" i="33"/>
  <c r="A14" i="33"/>
  <c r="A15" i="33" s="1"/>
  <c r="A16" i="33" s="1"/>
  <c r="A17" i="33" s="1"/>
  <c r="A18" i="33" s="1"/>
  <c r="A19" i="33" s="1"/>
  <c r="A20" i="33" s="1"/>
  <c r="A21" i="33" s="1"/>
  <c r="A22" i="33" s="1"/>
  <c r="A23" i="33" s="1"/>
  <c r="A24" i="33" s="1"/>
  <c r="A25" i="33" s="1"/>
  <c r="B33" i="33" s="1"/>
  <c r="A7" i="33"/>
  <c r="A1" i="33"/>
  <c r="C14" i="35"/>
  <c r="D14" i="35" s="1"/>
  <c r="E14" i="35" s="1"/>
  <c r="F14" i="35" s="1"/>
  <c r="G14" i="35" s="1"/>
  <c r="H14" i="35" s="1"/>
  <c r="I14" i="35" s="1"/>
  <c r="J14" i="35" s="1"/>
  <c r="K14" i="35" s="1"/>
  <c r="L14" i="35" s="1"/>
  <c r="M14" i="35" s="1"/>
  <c r="N14" i="35" s="1"/>
  <c r="O14" i="35" s="1"/>
  <c r="C15" i="35"/>
  <c r="D15" i="35" s="1"/>
  <c r="E15" i="35" s="1"/>
  <c r="F15" i="35" s="1"/>
  <c r="G15" i="35" s="1"/>
  <c r="H15" i="35" s="1"/>
  <c r="I15" i="35" s="1"/>
  <c r="J15" i="35" s="1"/>
  <c r="K15" i="35" s="1"/>
  <c r="L15" i="35" s="1"/>
  <c r="M15" i="35" s="1"/>
  <c r="N15" i="35" s="1"/>
  <c r="O15" i="35" s="1"/>
  <c r="C16" i="35"/>
  <c r="D16" i="35" s="1"/>
  <c r="E16" i="35" s="1"/>
  <c r="F16" i="35" s="1"/>
  <c r="G16" i="35" s="1"/>
  <c r="H16" i="35" s="1"/>
  <c r="I16" i="35" s="1"/>
  <c r="J16" i="35" s="1"/>
  <c r="K16" i="35" s="1"/>
  <c r="L16" i="35" s="1"/>
  <c r="M16" i="35" s="1"/>
  <c r="N16" i="35" s="1"/>
  <c r="O16" i="35" s="1"/>
  <c r="C17" i="35"/>
  <c r="C18" i="35"/>
  <c r="D18" i="35" s="1"/>
  <c r="E18" i="35" s="1"/>
  <c r="F18" i="35" s="1"/>
  <c r="G18" i="35" s="1"/>
  <c r="H18" i="35" s="1"/>
  <c r="I18" i="35" s="1"/>
  <c r="J18" i="35" s="1"/>
  <c r="K18" i="35" s="1"/>
  <c r="L18" i="35" s="1"/>
  <c r="M18" i="35" s="1"/>
  <c r="N18" i="35" s="1"/>
  <c r="O18" i="35" s="1"/>
  <c r="C13" i="35"/>
  <c r="D13" i="35" s="1"/>
  <c r="E13" i="35" s="1"/>
  <c r="F13" i="35" s="1"/>
  <c r="G13" i="35" s="1"/>
  <c r="H13" i="35" s="1"/>
  <c r="I13" i="35" s="1"/>
  <c r="J13" i="35" s="1"/>
  <c r="K13" i="35" s="1"/>
  <c r="L13" i="35" s="1"/>
  <c r="M13" i="35" s="1"/>
  <c r="N13" i="35" s="1"/>
  <c r="O13" i="35" s="1"/>
  <c r="C28" i="35"/>
  <c r="D28" i="35" s="1"/>
  <c r="E28" i="35" s="1"/>
  <c r="F28" i="35" s="1"/>
  <c r="G28" i="35" s="1"/>
  <c r="H28" i="35" s="1"/>
  <c r="I28" i="35" s="1"/>
  <c r="J28" i="35" s="1"/>
  <c r="K28" i="35" s="1"/>
  <c r="L28" i="35" s="1"/>
  <c r="M28" i="35" s="1"/>
  <c r="N28" i="35" s="1"/>
  <c r="O28" i="35" s="1"/>
  <c r="C29" i="35"/>
  <c r="R32" i="35"/>
  <c r="W32" i="35" s="1"/>
  <c r="R20" i="35"/>
  <c r="AD20" i="35" s="1"/>
  <c r="R19" i="35"/>
  <c r="Y19" i="35" s="1"/>
  <c r="R17" i="35"/>
  <c r="AE8" i="35"/>
  <c r="AD8" i="35"/>
  <c r="AC8" i="35"/>
  <c r="AB8" i="35"/>
  <c r="AA8" i="35"/>
  <c r="Z8" i="35"/>
  <c r="Y8" i="35"/>
  <c r="X8" i="35"/>
  <c r="W8" i="35"/>
  <c r="V8" i="35"/>
  <c r="U8" i="35"/>
  <c r="T8" i="35"/>
  <c r="S8" i="35"/>
  <c r="O8" i="35"/>
  <c r="N8" i="35"/>
  <c r="M8" i="35"/>
  <c r="L8" i="35"/>
  <c r="K8" i="35"/>
  <c r="J8" i="35"/>
  <c r="I8" i="35"/>
  <c r="H8" i="35"/>
  <c r="G8" i="35"/>
  <c r="F8" i="35"/>
  <c r="E8" i="35"/>
  <c r="D8" i="35"/>
  <c r="C8" i="35"/>
  <c r="A4" i="35"/>
  <c r="A2" i="35"/>
  <c r="B47" i="35"/>
  <c r="A46" i="35"/>
  <c r="B39" i="35"/>
  <c r="A35" i="35"/>
  <c r="A37" i="35" s="1"/>
  <c r="A39" i="35" s="1"/>
  <c r="A41" i="35" s="1"/>
  <c r="A43" i="35" s="1"/>
  <c r="A23" i="35"/>
  <c r="AE9" i="35"/>
  <c r="AD9" i="35"/>
  <c r="AC9" i="35"/>
  <c r="AB9" i="35"/>
  <c r="AA9" i="35"/>
  <c r="Z9" i="35"/>
  <c r="Y9" i="35"/>
  <c r="X9" i="35"/>
  <c r="W9" i="35"/>
  <c r="V9" i="35"/>
  <c r="U9" i="35"/>
  <c r="T9" i="35"/>
  <c r="S9" i="35"/>
  <c r="A7" i="35"/>
  <c r="AF1" i="35"/>
  <c r="Y1" i="35"/>
  <c r="R1" i="35"/>
  <c r="I1" i="35"/>
  <c r="A1" i="35"/>
  <c r="AD8" i="34"/>
  <c r="AC8" i="34"/>
  <c r="AB8" i="34"/>
  <c r="AA8" i="34"/>
  <c r="Z8" i="34"/>
  <c r="Y8" i="34"/>
  <c r="X8" i="34"/>
  <c r="W8" i="34"/>
  <c r="V8" i="34"/>
  <c r="U8" i="34"/>
  <c r="T8" i="34"/>
  <c r="S8" i="34"/>
  <c r="R8" i="34"/>
  <c r="Q76" i="34"/>
  <c r="AC76" i="34" s="1"/>
  <c r="Q75" i="34"/>
  <c r="AA75" i="34" s="1"/>
  <c r="Q74" i="34"/>
  <c r="Q73" i="34"/>
  <c r="Q72" i="34"/>
  <c r="Q71" i="34"/>
  <c r="Q70" i="34"/>
  <c r="Q69" i="34"/>
  <c r="Q68" i="34"/>
  <c r="Q67" i="34"/>
  <c r="Q65" i="34"/>
  <c r="Q64" i="34"/>
  <c r="Q56" i="34"/>
  <c r="Y56" i="34" s="1"/>
  <c r="Q55" i="34"/>
  <c r="W55" i="34" s="1"/>
  <c r="Q52" i="34"/>
  <c r="Q49" i="34"/>
  <c r="Q48" i="34"/>
  <c r="Q47" i="34"/>
  <c r="Q14" i="34"/>
  <c r="R14" i="34" s="1"/>
  <c r="Q15" i="34"/>
  <c r="Q16" i="34"/>
  <c r="Q19" i="34"/>
  <c r="R19" i="34" s="1"/>
  <c r="Q21" i="34"/>
  <c r="Q22" i="34"/>
  <c r="Q23" i="34"/>
  <c r="Q25" i="34"/>
  <c r="Q26" i="34"/>
  <c r="Q30" i="34"/>
  <c r="Q35" i="34"/>
  <c r="Q36" i="34"/>
  <c r="Q37" i="34"/>
  <c r="Q38" i="34"/>
  <c r="W38" i="34" s="1"/>
  <c r="Q39" i="34"/>
  <c r="U39" i="34" s="1"/>
  <c r="Q13" i="34"/>
  <c r="D67" i="34"/>
  <c r="E67" i="34" s="1"/>
  <c r="F67" i="34" s="1"/>
  <c r="D48" i="34"/>
  <c r="E48" i="34" s="1"/>
  <c r="D47" i="34"/>
  <c r="E47" i="34" s="1"/>
  <c r="D18" i="34"/>
  <c r="E18" i="34" s="1"/>
  <c r="F18" i="34" s="1"/>
  <c r="D34" i="34"/>
  <c r="E34" i="34" s="1"/>
  <c r="F34" i="34" s="1"/>
  <c r="G34" i="34" s="1"/>
  <c r="H34" i="34" s="1"/>
  <c r="I34" i="34" s="1"/>
  <c r="J34" i="34" s="1"/>
  <c r="D37" i="34"/>
  <c r="E37" i="34"/>
  <c r="F37" i="34" s="1"/>
  <c r="G37" i="34" s="1"/>
  <c r="H37" i="34" s="1"/>
  <c r="I37" i="34" s="1"/>
  <c r="J37" i="34" s="1"/>
  <c r="K37" i="34" s="1"/>
  <c r="L37" i="34" s="1"/>
  <c r="M37" i="34" s="1"/>
  <c r="N37" i="34" s="1"/>
  <c r="O37" i="34" s="1"/>
  <c r="C74" i="34"/>
  <c r="D74" i="34" s="1"/>
  <c r="C73" i="34"/>
  <c r="D73" i="34" s="1"/>
  <c r="E73" i="34" s="1"/>
  <c r="F73" i="34" s="1"/>
  <c r="G73" i="34" s="1"/>
  <c r="H73" i="34" s="1"/>
  <c r="I73" i="34" s="1"/>
  <c r="J73" i="34" s="1"/>
  <c r="C72" i="34"/>
  <c r="D72" i="34" s="1"/>
  <c r="E72" i="34" s="1"/>
  <c r="F72" i="34" s="1"/>
  <c r="C71" i="34"/>
  <c r="D71" i="34" s="1"/>
  <c r="C70" i="34"/>
  <c r="D70" i="34" s="1"/>
  <c r="E70" i="34" s="1"/>
  <c r="F70" i="34" s="1"/>
  <c r="G70" i="34" s="1"/>
  <c r="H70" i="34" s="1"/>
  <c r="I70" i="34" s="1"/>
  <c r="J70" i="34" s="1"/>
  <c r="C69" i="34"/>
  <c r="D69" i="34" s="1"/>
  <c r="E69" i="34" s="1"/>
  <c r="F69" i="34" s="1"/>
  <c r="G69" i="34" s="1"/>
  <c r="H69" i="34" s="1"/>
  <c r="C68" i="34"/>
  <c r="D68" i="34" s="1"/>
  <c r="E68" i="34" s="1"/>
  <c r="F68" i="34" s="1"/>
  <c r="C67" i="34"/>
  <c r="C66" i="34"/>
  <c r="D66" i="34" s="1"/>
  <c r="C65" i="34"/>
  <c r="D65" i="34" s="1"/>
  <c r="E65" i="34" s="1"/>
  <c r="F65" i="34" s="1"/>
  <c r="G65" i="34" s="1"/>
  <c r="H65" i="34" s="1"/>
  <c r="I65" i="34" s="1"/>
  <c r="J65" i="34" s="1"/>
  <c r="K65" i="34" s="1"/>
  <c r="L65" i="34" s="1"/>
  <c r="M65" i="34" s="1"/>
  <c r="N65" i="34" s="1"/>
  <c r="O65" i="34" s="1"/>
  <c r="C64" i="34"/>
  <c r="C54" i="34"/>
  <c r="D54" i="34" s="1"/>
  <c r="E54" i="34" s="1"/>
  <c r="C53" i="34"/>
  <c r="C52" i="34"/>
  <c r="D52" i="34" s="1"/>
  <c r="E52" i="34" s="1"/>
  <c r="C51" i="34"/>
  <c r="D51" i="34" s="1"/>
  <c r="E51" i="34" s="1"/>
  <c r="C50" i="34"/>
  <c r="D50" i="34" s="1"/>
  <c r="C49" i="34"/>
  <c r="D49" i="34" s="1"/>
  <c r="C48" i="34"/>
  <c r="C47" i="34"/>
  <c r="C14" i="34"/>
  <c r="D14" i="34" s="1"/>
  <c r="C15" i="34"/>
  <c r="D15" i="34" s="1"/>
  <c r="C16" i="34"/>
  <c r="D16" i="34" s="1"/>
  <c r="E16" i="34" s="1"/>
  <c r="C17" i="34"/>
  <c r="C42" i="34" s="1"/>
  <c r="C18" i="34"/>
  <c r="C19" i="34"/>
  <c r="D19" i="34" s="1"/>
  <c r="E19" i="34" s="1"/>
  <c r="C20" i="34"/>
  <c r="D20" i="34" s="1"/>
  <c r="E20" i="34" s="1"/>
  <c r="C21" i="34"/>
  <c r="C22" i="34"/>
  <c r="D22" i="34" s="1"/>
  <c r="C23" i="34"/>
  <c r="C24" i="34"/>
  <c r="D24" i="34" s="1"/>
  <c r="C25" i="34"/>
  <c r="D25" i="34" s="1"/>
  <c r="C26" i="34"/>
  <c r="D26" i="34" s="1"/>
  <c r="E26" i="34" s="1"/>
  <c r="F26" i="34" s="1"/>
  <c r="C27" i="34"/>
  <c r="D27" i="34" s="1"/>
  <c r="C28" i="34"/>
  <c r="D28" i="34" s="1"/>
  <c r="E28" i="34" s="1"/>
  <c r="F28" i="34" s="1"/>
  <c r="C29" i="34"/>
  <c r="D29" i="34" s="1"/>
  <c r="E29" i="34" s="1"/>
  <c r="F29" i="34" s="1"/>
  <c r="C30" i="34"/>
  <c r="D30" i="34" s="1"/>
  <c r="C31" i="34"/>
  <c r="D31" i="34" s="1"/>
  <c r="C32" i="34"/>
  <c r="D32" i="34" s="1"/>
  <c r="C33" i="34"/>
  <c r="D33" i="34" s="1"/>
  <c r="E33" i="34" s="1"/>
  <c r="F33" i="34" s="1"/>
  <c r="C34" i="34"/>
  <c r="C35" i="34"/>
  <c r="D35" i="34" s="1"/>
  <c r="E35" i="34" s="1"/>
  <c r="F35" i="34" s="1"/>
  <c r="G35" i="34" s="1"/>
  <c r="H35" i="34" s="1"/>
  <c r="I35" i="34" s="1"/>
  <c r="J35" i="34" s="1"/>
  <c r="K35" i="34" s="1"/>
  <c r="L35" i="34" s="1"/>
  <c r="M35" i="34" s="1"/>
  <c r="N35" i="34" s="1"/>
  <c r="C36" i="34"/>
  <c r="D36" i="34" s="1"/>
  <c r="C37" i="34"/>
  <c r="C13" i="34"/>
  <c r="D13" i="34" s="1"/>
  <c r="E13" i="34" s="1"/>
  <c r="O8" i="34"/>
  <c r="N8" i="34"/>
  <c r="M8" i="34"/>
  <c r="L8" i="34"/>
  <c r="K8" i="34"/>
  <c r="J8" i="34"/>
  <c r="I8" i="34"/>
  <c r="H8" i="34"/>
  <c r="G8" i="34"/>
  <c r="F8" i="34"/>
  <c r="E8" i="34"/>
  <c r="D8" i="34"/>
  <c r="C8" i="34"/>
  <c r="A4" i="34"/>
  <c r="A2" i="34"/>
  <c r="B87" i="34"/>
  <c r="A86" i="34"/>
  <c r="B83" i="34"/>
  <c r="O81" i="34"/>
  <c r="N81" i="34"/>
  <c r="M81" i="34"/>
  <c r="L81" i="34"/>
  <c r="K81" i="34"/>
  <c r="J81" i="34"/>
  <c r="I81" i="34"/>
  <c r="H81" i="34"/>
  <c r="G81" i="34"/>
  <c r="F81" i="34"/>
  <c r="E81" i="34"/>
  <c r="D81" i="34"/>
  <c r="C81" i="34"/>
  <c r="D79" i="34"/>
  <c r="C79" i="34"/>
  <c r="A79" i="34"/>
  <c r="A81" i="34" s="1"/>
  <c r="A83" i="34" s="1"/>
  <c r="B77" i="34"/>
  <c r="O61" i="34"/>
  <c r="N61" i="34"/>
  <c r="M61" i="34"/>
  <c r="L61" i="34"/>
  <c r="K61" i="34"/>
  <c r="J61" i="34"/>
  <c r="I61" i="34"/>
  <c r="H61" i="34"/>
  <c r="G61" i="34"/>
  <c r="F61" i="34"/>
  <c r="E61" i="34"/>
  <c r="D61" i="34"/>
  <c r="C61" i="34"/>
  <c r="A59" i="34"/>
  <c r="A61" i="34" s="1"/>
  <c r="B55" i="33" s="1"/>
  <c r="B57" i="34"/>
  <c r="A42" i="34"/>
  <c r="B40" i="34"/>
  <c r="AD9" i="34"/>
  <c r="AC9" i="34"/>
  <c r="AB9" i="34"/>
  <c r="AA9" i="34"/>
  <c r="Z9" i="34"/>
  <c r="Y9" i="34"/>
  <c r="X9" i="34"/>
  <c r="W9" i="34"/>
  <c r="V9" i="34"/>
  <c r="U9" i="34"/>
  <c r="T9" i="34"/>
  <c r="S9" i="34"/>
  <c r="R9" i="34"/>
  <c r="A7" i="34"/>
  <c r="AB1" i="34"/>
  <c r="O1" i="34"/>
  <c r="A1" i="34"/>
  <c r="V13" i="32"/>
  <c r="V14" i="32"/>
  <c r="V15" i="32"/>
  <c r="V16" i="32"/>
  <c r="W16" i="32" s="1"/>
  <c r="V17" i="32"/>
  <c r="V18" i="32"/>
  <c r="V12" i="32"/>
  <c r="W12" i="32" s="1"/>
  <c r="G116" i="29"/>
  <c r="G49" i="29"/>
  <c r="G47" i="29"/>
  <c r="G42" i="29"/>
  <c r="G40" i="29"/>
  <c r="A4" i="44"/>
  <c r="A2" i="44"/>
  <c r="A46" i="44"/>
  <c r="F38" i="44"/>
  <c r="F37" i="44"/>
  <c r="F36" i="44"/>
  <c r="F35" i="44"/>
  <c r="A14" i="44"/>
  <c r="A17" i="44" s="1"/>
  <c r="A12" i="44"/>
  <c r="C7" i="44"/>
  <c r="B7" i="44"/>
  <c r="A7" i="44"/>
  <c r="A1" i="44"/>
  <c r="C60" i="29"/>
  <c r="S8" i="32"/>
  <c r="R8" i="32"/>
  <c r="Q8" i="32"/>
  <c r="P8" i="32"/>
  <c r="O8" i="32"/>
  <c r="N8" i="32"/>
  <c r="M8" i="32"/>
  <c r="L8" i="32"/>
  <c r="K8" i="32"/>
  <c r="J8" i="32"/>
  <c r="I8" i="32"/>
  <c r="H8" i="32"/>
  <c r="G8" i="32"/>
  <c r="A2" i="32"/>
  <c r="A4" i="32"/>
  <c r="B25" i="32"/>
  <c r="A22" i="32"/>
  <c r="S19" i="32"/>
  <c r="R19" i="32"/>
  <c r="Q19" i="32"/>
  <c r="P19" i="32"/>
  <c r="O19" i="32"/>
  <c r="N19" i="32"/>
  <c r="M19" i="32"/>
  <c r="L19" i="32"/>
  <c r="K19" i="32"/>
  <c r="J19" i="32"/>
  <c r="I19" i="32"/>
  <c r="H19" i="32"/>
  <c r="G19" i="32"/>
  <c r="B19" i="32"/>
  <c r="T18" i="32"/>
  <c r="T17" i="32"/>
  <c r="T16" i="32"/>
  <c r="T15" i="32"/>
  <c r="T14" i="32"/>
  <c r="T13" i="32"/>
  <c r="T19" i="32" s="1"/>
  <c r="D60" i="29" s="1"/>
  <c r="T12" i="32"/>
  <c r="N7" i="32"/>
  <c r="A7" i="32"/>
  <c r="T1" i="32"/>
  <c r="M1" i="32"/>
  <c r="A1" i="32"/>
  <c r="AE1" i="25"/>
  <c r="X1" i="25"/>
  <c r="Q1" i="25"/>
  <c r="I1" i="25"/>
  <c r="O1" i="13"/>
  <c r="AB1" i="13"/>
  <c r="C65" i="29" l="1"/>
  <c r="AL16" i="43"/>
  <c r="C66" i="29"/>
  <c r="G19" i="37"/>
  <c r="AC16" i="37"/>
  <c r="J18" i="36"/>
  <c r="B80" i="33"/>
  <c r="I18" i="36"/>
  <c r="AL14" i="43"/>
  <c r="W15" i="32"/>
  <c r="R13" i="34"/>
  <c r="S67" i="34"/>
  <c r="B54" i="33"/>
  <c r="R48" i="34"/>
  <c r="C108" i="29"/>
  <c r="AC13" i="37"/>
  <c r="C86" i="29"/>
  <c r="A19" i="40"/>
  <c r="AB21" i="36"/>
  <c r="D65" i="29" s="1"/>
  <c r="W13" i="32"/>
  <c r="R22" i="34"/>
  <c r="R49" i="34"/>
  <c r="B63" i="33"/>
  <c r="AD13" i="36"/>
  <c r="AD23" i="36" s="1"/>
  <c r="I66" i="29" s="1"/>
  <c r="AL12" i="43"/>
  <c r="B144" i="33"/>
  <c r="C37" i="35"/>
  <c r="D29" i="35"/>
  <c r="E29" i="35" s="1"/>
  <c r="F29" i="35" s="1"/>
  <c r="G29" i="35" s="1"/>
  <c r="H29" i="35" s="1"/>
  <c r="I29" i="35" s="1"/>
  <c r="J29" i="35" s="1"/>
  <c r="K29" i="35" s="1"/>
  <c r="L29" i="35" s="1"/>
  <c r="M29" i="35" s="1"/>
  <c r="N29" i="35" s="1"/>
  <c r="O29" i="35" s="1"/>
  <c r="C25" i="35"/>
  <c r="D17" i="35"/>
  <c r="E17" i="35" s="1"/>
  <c r="F17" i="35" s="1"/>
  <c r="G17" i="35" s="1"/>
  <c r="H17" i="35" s="1"/>
  <c r="I17" i="35" s="1"/>
  <c r="J17" i="35" s="1"/>
  <c r="K17" i="35" s="1"/>
  <c r="L17" i="35" s="1"/>
  <c r="M17" i="35" s="1"/>
  <c r="N17" i="35" s="1"/>
  <c r="O17" i="35" s="1"/>
  <c r="D35" i="35"/>
  <c r="C35" i="35"/>
  <c r="B115" i="33"/>
  <c r="B90" i="33"/>
  <c r="B131" i="33"/>
  <c r="B132" i="33"/>
  <c r="C23" i="35"/>
  <c r="N18" i="36"/>
  <c r="S20" i="35"/>
  <c r="AE20" i="35"/>
  <c r="AC12" i="37"/>
  <c r="AC15" i="37"/>
  <c r="AM14" i="43"/>
  <c r="M13" i="37"/>
  <c r="AC17" i="37"/>
  <c r="AC14" i="37"/>
  <c r="AM13" i="43"/>
  <c r="Z20" i="35"/>
  <c r="M16" i="37"/>
  <c r="X20" i="35"/>
  <c r="V20" i="35"/>
  <c r="Y20" i="35"/>
  <c r="M14" i="37"/>
  <c r="AL15" i="43"/>
  <c r="A17" i="31"/>
  <c r="A18" i="31" s="1"/>
  <c r="A19" i="31" s="1"/>
  <c r="A20" i="31" s="1"/>
  <c r="A21" i="31" s="1"/>
  <c r="A22" i="31" s="1"/>
  <c r="A23" i="31" s="1"/>
  <c r="A24" i="31" s="1"/>
  <c r="AL17" i="43"/>
  <c r="AM17" i="43"/>
  <c r="AL13" i="43"/>
  <c r="AM15" i="43"/>
  <c r="AM18" i="43"/>
  <c r="AN18" i="43" s="1"/>
  <c r="AM16" i="43"/>
  <c r="AM12" i="43"/>
  <c r="AJ19" i="43"/>
  <c r="M12" i="37"/>
  <c r="AA19" i="37"/>
  <c r="D67" i="29" s="1"/>
  <c r="H17" i="37"/>
  <c r="I17" i="37" s="1"/>
  <c r="M17" i="37" s="1"/>
  <c r="I18" i="37"/>
  <c r="M18" i="37" s="1"/>
  <c r="H15" i="37"/>
  <c r="I15" i="37" s="1"/>
  <c r="M15" i="37" s="1"/>
  <c r="AB75" i="34"/>
  <c r="W20" i="35"/>
  <c r="S75" i="34"/>
  <c r="U76" i="34"/>
  <c r="AA20" i="35"/>
  <c r="AD76" i="34"/>
  <c r="AB20" i="35"/>
  <c r="T20" i="35"/>
  <c r="W17" i="32"/>
  <c r="X32" i="35"/>
  <c r="AD14" i="36"/>
  <c r="AD17" i="36"/>
  <c r="AE32" i="35"/>
  <c r="U75" i="34"/>
  <c r="R23" i="34"/>
  <c r="N16" i="36"/>
  <c r="W75" i="34"/>
  <c r="AD32" i="35"/>
  <c r="AD16" i="36"/>
  <c r="N17" i="36"/>
  <c r="AD18" i="36"/>
  <c r="J15" i="36"/>
  <c r="N15" i="36" s="1"/>
  <c r="H19" i="36"/>
  <c r="AB19" i="36"/>
  <c r="H23" i="36"/>
  <c r="I15" i="36"/>
  <c r="B30" i="36"/>
  <c r="AD12" i="36"/>
  <c r="I14" i="36"/>
  <c r="J14" i="36" s="1"/>
  <c r="N14" i="36" s="1"/>
  <c r="H21" i="36"/>
  <c r="I12" i="36"/>
  <c r="J12" i="36" s="1"/>
  <c r="J13" i="36"/>
  <c r="C69" i="33"/>
  <c r="C97" i="33"/>
  <c r="C41" i="33"/>
  <c r="C43" i="33"/>
  <c r="C68" i="33"/>
  <c r="C45" i="33"/>
  <c r="C121" i="33"/>
  <c r="C49" i="33"/>
  <c r="D50" i="33" s="1"/>
  <c r="E49" i="33" s="1"/>
  <c r="C133" i="29"/>
  <c r="C120" i="33"/>
  <c r="C122" i="33"/>
  <c r="C123" i="33"/>
  <c r="C116" i="33"/>
  <c r="D116" i="33" s="1"/>
  <c r="C124" i="33"/>
  <c r="C117" i="33"/>
  <c r="C125" i="33"/>
  <c r="C118" i="33"/>
  <c r="C126" i="33"/>
  <c r="D127" i="33" s="1"/>
  <c r="E126" i="33" s="1"/>
  <c r="C119" i="33"/>
  <c r="C91" i="33"/>
  <c r="D91" i="33" s="1"/>
  <c r="C95" i="33"/>
  <c r="C96" i="33"/>
  <c r="C98" i="33"/>
  <c r="C99" i="33"/>
  <c r="C100" i="33"/>
  <c r="C93" i="33"/>
  <c r="C101" i="33"/>
  <c r="C92" i="33"/>
  <c r="C94" i="33"/>
  <c r="C71" i="33"/>
  <c r="C64" i="33"/>
  <c r="D64" i="33" s="1"/>
  <c r="C72" i="33"/>
  <c r="C65" i="33"/>
  <c r="C73" i="33"/>
  <c r="C70" i="33"/>
  <c r="C66" i="33"/>
  <c r="C74" i="33"/>
  <c r="D75" i="33" s="1"/>
  <c r="E74" i="33" s="1"/>
  <c r="C67" i="33"/>
  <c r="C44" i="33"/>
  <c r="C46" i="33"/>
  <c r="C39" i="33"/>
  <c r="D39" i="33" s="1"/>
  <c r="C47" i="33"/>
  <c r="C40" i="33"/>
  <c r="C48" i="33"/>
  <c r="C42" i="33"/>
  <c r="W18" i="32"/>
  <c r="F39" i="44"/>
  <c r="B26" i="33"/>
  <c r="A26" i="33"/>
  <c r="C24" i="33"/>
  <c r="C22" i="33"/>
  <c r="C20" i="33"/>
  <c r="C18" i="33"/>
  <c r="C16" i="33"/>
  <c r="C14" i="33"/>
  <c r="D14" i="33" s="1"/>
  <c r="C19" i="33"/>
  <c r="C23" i="33"/>
  <c r="C15" i="33"/>
  <c r="C17" i="33"/>
  <c r="C21" i="33"/>
  <c r="C25" i="33"/>
  <c r="C21" i="35"/>
  <c r="E35" i="35"/>
  <c r="C33" i="35"/>
  <c r="S17" i="35"/>
  <c r="S25" i="35" s="1"/>
  <c r="Z19" i="35"/>
  <c r="AA19" i="35"/>
  <c r="T19" i="35"/>
  <c r="AB19" i="35"/>
  <c r="U20" i="35"/>
  <c r="AC20" i="35"/>
  <c r="A25" i="35"/>
  <c r="Y32" i="35"/>
  <c r="Z32" i="35"/>
  <c r="U19" i="35"/>
  <c r="V19" i="35"/>
  <c r="AD19" i="35"/>
  <c r="S32" i="35"/>
  <c r="AA32" i="35"/>
  <c r="AC19" i="35"/>
  <c r="W19" i="35"/>
  <c r="AE19" i="35"/>
  <c r="T32" i="35"/>
  <c r="AB32" i="35"/>
  <c r="S19" i="35"/>
  <c r="X19" i="35"/>
  <c r="U32" i="35"/>
  <c r="AC32" i="35"/>
  <c r="V32" i="35"/>
  <c r="F20" i="34"/>
  <c r="G20" i="34" s="1"/>
  <c r="E74" i="34"/>
  <c r="F74" i="34" s="1"/>
  <c r="G74" i="34" s="1"/>
  <c r="H74" i="34" s="1"/>
  <c r="I74" i="34" s="1"/>
  <c r="J74" i="34" s="1"/>
  <c r="K74" i="34" s="1"/>
  <c r="L74" i="34" s="1"/>
  <c r="AA74" i="34" s="1"/>
  <c r="S74" i="34"/>
  <c r="E50" i="34"/>
  <c r="S25" i="34"/>
  <c r="E25" i="34"/>
  <c r="F25" i="34" s="1"/>
  <c r="G25" i="34" s="1"/>
  <c r="H25" i="34" s="1"/>
  <c r="E36" i="34"/>
  <c r="F36" i="34" s="1"/>
  <c r="G36" i="34" s="1"/>
  <c r="H36" i="34" s="1"/>
  <c r="W36" i="34" s="1"/>
  <c r="S36" i="34"/>
  <c r="E27" i="34"/>
  <c r="F27" i="34" s="1"/>
  <c r="E49" i="34"/>
  <c r="T49" i="34" s="1"/>
  <c r="S49" i="34"/>
  <c r="E24" i="34"/>
  <c r="F24" i="34" s="1"/>
  <c r="G24" i="34" s="1"/>
  <c r="H24" i="34" s="1"/>
  <c r="D44" i="34"/>
  <c r="E31" i="34"/>
  <c r="F31" i="34" s="1"/>
  <c r="G31" i="34" s="1"/>
  <c r="E66" i="34"/>
  <c r="E32" i="34"/>
  <c r="F32" i="34" s="1"/>
  <c r="E15" i="34"/>
  <c r="F13" i="34"/>
  <c r="G13" i="34" s="1"/>
  <c r="V13" i="34" s="1"/>
  <c r="T13" i="34"/>
  <c r="E30" i="34"/>
  <c r="F30" i="34" s="1"/>
  <c r="G30" i="34" s="1"/>
  <c r="H30" i="34" s="1"/>
  <c r="S30" i="34"/>
  <c r="E22" i="34"/>
  <c r="T22" i="34" s="1"/>
  <c r="S22" i="34"/>
  <c r="E14" i="34"/>
  <c r="S14" i="34"/>
  <c r="E71" i="34"/>
  <c r="F71" i="34" s="1"/>
  <c r="G71" i="34" s="1"/>
  <c r="H71" i="34" s="1"/>
  <c r="S71" i="34"/>
  <c r="AD55" i="34"/>
  <c r="AD56" i="34"/>
  <c r="C44" i="34"/>
  <c r="D23" i="34"/>
  <c r="E23" i="34" s="1"/>
  <c r="D53" i="34"/>
  <c r="D59" i="34" s="1"/>
  <c r="R52" i="34"/>
  <c r="T56" i="34"/>
  <c r="V55" i="34"/>
  <c r="V56" i="34"/>
  <c r="C59" i="34"/>
  <c r="AC75" i="34"/>
  <c r="R21" i="34"/>
  <c r="C57" i="34"/>
  <c r="C77" i="34"/>
  <c r="D17" i="34"/>
  <c r="R15" i="34"/>
  <c r="X55" i="34"/>
  <c r="X56" i="34"/>
  <c r="D21" i="34"/>
  <c r="E21" i="34" s="1"/>
  <c r="D64" i="34"/>
  <c r="E64" i="34" s="1"/>
  <c r="F64" i="34" s="1"/>
  <c r="R16" i="34"/>
  <c r="R56" i="34"/>
  <c r="S38" i="34"/>
  <c r="Z55" i="34"/>
  <c r="Z56" i="34"/>
  <c r="R55" i="34"/>
  <c r="T55" i="34"/>
  <c r="A44" i="34"/>
  <c r="AB55" i="34"/>
  <c r="AB56" i="34"/>
  <c r="W76" i="34"/>
  <c r="G67" i="34"/>
  <c r="H67" i="34" s="1"/>
  <c r="U67" i="34"/>
  <c r="G68" i="34"/>
  <c r="H68" i="34" s="1"/>
  <c r="U68" i="34"/>
  <c r="I69" i="34"/>
  <c r="J69" i="34" s="1"/>
  <c r="K69" i="34" s="1"/>
  <c r="L69" i="34" s="1"/>
  <c r="M69" i="34" s="1"/>
  <c r="N69" i="34" s="1"/>
  <c r="O69" i="34" s="1"/>
  <c r="AD69" i="34" s="1"/>
  <c r="W69" i="34"/>
  <c r="E77" i="34"/>
  <c r="G72" i="34"/>
  <c r="H72" i="34" s="1"/>
  <c r="U72" i="34"/>
  <c r="K73" i="34"/>
  <c r="L73" i="34" s="1"/>
  <c r="M73" i="34" s="1"/>
  <c r="N73" i="34" s="1"/>
  <c r="O73" i="34" s="1"/>
  <c r="Y73" i="34"/>
  <c r="Y70" i="34"/>
  <c r="K70" i="34"/>
  <c r="L70" i="34" s="1"/>
  <c r="M70" i="34" s="1"/>
  <c r="N70" i="34" s="1"/>
  <c r="O70" i="34" s="1"/>
  <c r="AD70" i="34" s="1"/>
  <c r="M74" i="34"/>
  <c r="N74" i="34" s="1"/>
  <c r="O74" i="34" s="1"/>
  <c r="AD74" i="34" s="1"/>
  <c r="F50" i="34"/>
  <c r="F54" i="34"/>
  <c r="F52" i="34"/>
  <c r="G52" i="34" s="1"/>
  <c r="T52" i="34"/>
  <c r="F48" i="34"/>
  <c r="G48" i="34" s="1"/>
  <c r="T48" i="34"/>
  <c r="F47" i="34"/>
  <c r="F51" i="34"/>
  <c r="G51" i="34" s="1"/>
  <c r="T47" i="34"/>
  <c r="K34" i="34"/>
  <c r="L34" i="34" s="1"/>
  <c r="AC35" i="34"/>
  <c r="O35" i="34"/>
  <c r="G33" i="34"/>
  <c r="H33" i="34" s="1"/>
  <c r="T23" i="34"/>
  <c r="F23" i="34"/>
  <c r="U26" i="34"/>
  <c r="G26" i="34"/>
  <c r="H26" i="34" s="1"/>
  <c r="G32" i="34"/>
  <c r="H32" i="34" s="1"/>
  <c r="T19" i="34"/>
  <c r="F19" i="34"/>
  <c r="F16" i="34"/>
  <c r="G16" i="34" s="1"/>
  <c r="T16" i="34"/>
  <c r="Y35" i="34"/>
  <c r="F44" i="34"/>
  <c r="G28" i="34"/>
  <c r="H28" i="34" s="1"/>
  <c r="G29" i="34"/>
  <c r="H29" i="34" s="1"/>
  <c r="I29" i="34" s="1"/>
  <c r="J29" i="34" s="1"/>
  <c r="K29" i="34" s="1"/>
  <c r="L29" i="34" s="1"/>
  <c r="M29" i="34" s="1"/>
  <c r="N29" i="34" s="1"/>
  <c r="O29" i="34" s="1"/>
  <c r="I36" i="34"/>
  <c r="J36" i="34" s="1"/>
  <c r="K36" i="34" s="1"/>
  <c r="L36" i="34" s="1"/>
  <c r="G18" i="34"/>
  <c r="AA35" i="34"/>
  <c r="W37" i="34"/>
  <c r="R47" i="34"/>
  <c r="C40" i="34"/>
  <c r="Z39" i="34"/>
  <c r="R39" i="34"/>
  <c r="X39" i="34"/>
  <c r="AD39" i="34"/>
  <c r="V39" i="34"/>
  <c r="AB39" i="34"/>
  <c r="T39" i="34"/>
  <c r="R30" i="34"/>
  <c r="X38" i="34"/>
  <c r="AD38" i="34"/>
  <c r="V38" i="34"/>
  <c r="AB38" i="34"/>
  <c r="T38" i="34"/>
  <c r="Z38" i="34"/>
  <c r="R38" i="34"/>
  <c r="S39" i="34"/>
  <c r="S70" i="34"/>
  <c r="R74" i="34"/>
  <c r="W74" i="34"/>
  <c r="AC74" i="34"/>
  <c r="T74" i="34"/>
  <c r="S13" i="34"/>
  <c r="S21" i="34"/>
  <c r="T36" i="34"/>
  <c r="R36" i="34"/>
  <c r="V36" i="34"/>
  <c r="S37" i="34"/>
  <c r="U38" i="34"/>
  <c r="W39" i="34"/>
  <c r="X65" i="34"/>
  <c r="AD65" i="34"/>
  <c r="V65" i="34"/>
  <c r="AC65" i="34"/>
  <c r="U65" i="34"/>
  <c r="AB65" i="34"/>
  <c r="T65" i="34"/>
  <c r="AA65" i="34"/>
  <c r="S65" i="34"/>
  <c r="Z65" i="34"/>
  <c r="R65" i="34"/>
  <c r="Z35" i="34"/>
  <c r="R35" i="34"/>
  <c r="X35" i="34"/>
  <c r="AD35" i="34"/>
  <c r="V35" i="34"/>
  <c r="AB35" i="34"/>
  <c r="T35" i="34"/>
  <c r="U13" i="34"/>
  <c r="S16" i="34"/>
  <c r="R25" i="34"/>
  <c r="S35" i="34"/>
  <c r="U36" i="34"/>
  <c r="Y38" i="34"/>
  <c r="AA39" i="34"/>
  <c r="W65" i="34"/>
  <c r="V69" i="34"/>
  <c r="U69" i="34"/>
  <c r="AB69" i="34"/>
  <c r="T69" i="34"/>
  <c r="AA69" i="34"/>
  <c r="S69" i="34"/>
  <c r="R69" i="34"/>
  <c r="AD37" i="34"/>
  <c r="V37" i="34"/>
  <c r="AB37" i="34"/>
  <c r="T37" i="34"/>
  <c r="Z37" i="34"/>
  <c r="R37" i="34"/>
  <c r="X37" i="34"/>
  <c r="U37" i="34"/>
  <c r="T26" i="34"/>
  <c r="R26" i="34"/>
  <c r="U35" i="34"/>
  <c r="Y37" i="34"/>
  <c r="AA38" i="34"/>
  <c r="AC39" i="34"/>
  <c r="Y65" i="34"/>
  <c r="X73" i="34"/>
  <c r="AD73" i="34"/>
  <c r="V73" i="34"/>
  <c r="AC73" i="34"/>
  <c r="U73" i="34"/>
  <c r="T73" i="34"/>
  <c r="S73" i="34"/>
  <c r="Z73" i="34"/>
  <c r="R73" i="34"/>
  <c r="Y39" i="34"/>
  <c r="S15" i="34"/>
  <c r="S19" i="34"/>
  <c r="S23" i="34"/>
  <c r="S26" i="34"/>
  <c r="W35" i="34"/>
  <c r="Y36" i="34"/>
  <c r="AA37" i="34"/>
  <c r="AC38" i="34"/>
  <c r="Y69" i="34"/>
  <c r="W73" i="34"/>
  <c r="AC37" i="34"/>
  <c r="R70" i="34"/>
  <c r="X70" i="34"/>
  <c r="W70" i="34"/>
  <c r="V70" i="34"/>
  <c r="U70" i="34"/>
  <c r="T70" i="34"/>
  <c r="S48" i="34"/>
  <c r="S52" i="34"/>
  <c r="Y55" i="34"/>
  <c r="S56" i="34"/>
  <c r="AA56" i="34"/>
  <c r="V67" i="34"/>
  <c r="V75" i="34"/>
  <c r="AD75" i="34"/>
  <c r="X76" i="34"/>
  <c r="Y76" i="34"/>
  <c r="S47" i="34"/>
  <c r="U48" i="34"/>
  <c r="S55" i="34"/>
  <c r="AA55" i="34"/>
  <c r="U56" i="34"/>
  <c r="AC56" i="34"/>
  <c r="R64" i="34"/>
  <c r="R68" i="34"/>
  <c r="R72" i="34"/>
  <c r="X75" i="34"/>
  <c r="R76" i="34"/>
  <c r="Z76" i="34"/>
  <c r="S64" i="34"/>
  <c r="S68" i="34"/>
  <c r="S72" i="34"/>
  <c r="Y75" i="34"/>
  <c r="S76" i="34"/>
  <c r="AA76" i="34"/>
  <c r="U55" i="34"/>
  <c r="AC55" i="34"/>
  <c r="W56" i="34"/>
  <c r="T64" i="34"/>
  <c r="R67" i="34"/>
  <c r="T68" i="34"/>
  <c r="R71" i="34"/>
  <c r="T72" i="34"/>
  <c r="R75" i="34"/>
  <c r="Z75" i="34"/>
  <c r="T76" i="34"/>
  <c r="AB76" i="34"/>
  <c r="T67" i="34"/>
  <c r="T71" i="34"/>
  <c r="T75" i="34"/>
  <c r="V76" i="34"/>
  <c r="W14" i="32"/>
  <c r="A18" i="44"/>
  <c r="A20" i="44" s="1"/>
  <c r="A23" i="44" s="1"/>
  <c r="B47" i="25"/>
  <c r="B150" i="24"/>
  <c r="B146" i="24"/>
  <c r="J128" i="24"/>
  <c r="B127" i="24"/>
  <c r="B126" i="24"/>
  <c r="B125" i="24"/>
  <c r="B124" i="24"/>
  <c r="B123" i="24"/>
  <c r="B122" i="24"/>
  <c r="B121" i="24"/>
  <c r="B120" i="24"/>
  <c r="B119" i="24"/>
  <c r="B118" i="24"/>
  <c r="B117" i="24"/>
  <c r="B116" i="24"/>
  <c r="C115" i="24"/>
  <c r="C116" i="24" s="1"/>
  <c r="D116" i="24" s="1"/>
  <c r="C33" i="25"/>
  <c r="R61" i="34" l="1"/>
  <c r="L54" i="33" s="1"/>
  <c r="S61" i="34"/>
  <c r="T81" i="34"/>
  <c r="R81" i="34"/>
  <c r="L79" i="33" s="1"/>
  <c r="T61" i="34"/>
  <c r="S81" i="34"/>
  <c r="C43" i="35"/>
  <c r="D33" i="35"/>
  <c r="D69" i="33"/>
  <c r="L106" i="33"/>
  <c r="AN12" i="43"/>
  <c r="AN14" i="43"/>
  <c r="Z74" i="34"/>
  <c r="AN16" i="43"/>
  <c r="U74" i="34"/>
  <c r="F22" i="34"/>
  <c r="F49" i="34"/>
  <c r="U49" i="34" s="1"/>
  <c r="X69" i="34"/>
  <c r="T30" i="34"/>
  <c r="Z69" i="34"/>
  <c r="E44" i="34"/>
  <c r="Z70" i="34"/>
  <c r="Z36" i="34"/>
  <c r="V74" i="34"/>
  <c r="V30" i="34"/>
  <c r="C83" i="34"/>
  <c r="C92" i="29"/>
  <c r="A20" i="40"/>
  <c r="AB70" i="34"/>
  <c r="Y74" i="34"/>
  <c r="U30" i="34"/>
  <c r="X74" i="34"/>
  <c r="U71" i="34"/>
  <c r="F66" i="34"/>
  <c r="E79" i="34"/>
  <c r="D99" i="33"/>
  <c r="D122" i="33"/>
  <c r="C41" i="35"/>
  <c r="B48" i="35"/>
  <c r="B107" i="33"/>
  <c r="B106" i="33"/>
  <c r="D37" i="35"/>
  <c r="C39" i="35"/>
  <c r="AF20" i="35"/>
  <c r="AF32" i="35"/>
  <c r="AN13" i="43"/>
  <c r="AC19" i="37"/>
  <c r="I67" i="29" s="1"/>
  <c r="AN15" i="43"/>
  <c r="AN17" i="43"/>
  <c r="AL19" i="43"/>
  <c r="W19" i="32"/>
  <c r="I60" i="29" s="1"/>
  <c r="A25" i="31"/>
  <c r="A26" i="31" s="1"/>
  <c r="A27" i="31" s="1"/>
  <c r="A28" i="31" s="1"/>
  <c r="A29" i="31" s="1"/>
  <c r="A30" i="31" s="1"/>
  <c r="A31" i="31" s="1"/>
  <c r="A32" i="31" s="1"/>
  <c r="A33" i="31" s="1"/>
  <c r="A34" i="31" s="1"/>
  <c r="A35" i="31" s="1"/>
  <c r="AM19" i="43"/>
  <c r="M19" i="37"/>
  <c r="I107" i="29" s="1"/>
  <c r="I19" i="37"/>
  <c r="D107" i="29" s="1"/>
  <c r="J21" i="36"/>
  <c r="D108" i="29" s="1"/>
  <c r="J19" i="36"/>
  <c r="N12" i="36"/>
  <c r="J23" i="36"/>
  <c r="D109" i="29" s="1"/>
  <c r="N13" i="36"/>
  <c r="N23" i="36" s="1"/>
  <c r="I109" i="29" s="1"/>
  <c r="AD21" i="36"/>
  <c r="I65" i="29" s="1"/>
  <c r="AD19" i="36"/>
  <c r="D101" i="33"/>
  <c r="D118" i="33"/>
  <c r="D125" i="33"/>
  <c r="D126" i="33"/>
  <c r="E125" i="33" s="1"/>
  <c r="D121" i="33"/>
  <c r="D71" i="33"/>
  <c r="D93" i="33"/>
  <c r="B29" i="33"/>
  <c r="B30" i="33"/>
  <c r="B88" i="34"/>
  <c r="D74" i="33"/>
  <c r="E73" i="33" s="1"/>
  <c r="D72" i="33"/>
  <c r="D17" i="33"/>
  <c r="D92" i="33"/>
  <c r="D119" i="33"/>
  <c r="D68" i="33"/>
  <c r="D15" i="33"/>
  <c r="D120" i="33"/>
  <c r="D73" i="33"/>
  <c r="D66" i="33"/>
  <c r="D123" i="33"/>
  <c r="D124" i="33"/>
  <c r="D42" i="33"/>
  <c r="D46" i="33"/>
  <c r="D70" i="33"/>
  <c r="D65" i="33"/>
  <c r="D25" i="33"/>
  <c r="E24" i="33" s="1"/>
  <c r="D44" i="33"/>
  <c r="D23" i="33"/>
  <c r="D67" i="33"/>
  <c r="D94" i="33"/>
  <c r="D95" i="33"/>
  <c r="D47" i="33"/>
  <c r="D117" i="33"/>
  <c r="D97" i="33"/>
  <c r="D100" i="33"/>
  <c r="D41" i="33"/>
  <c r="D96" i="33"/>
  <c r="D98" i="33"/>
  <c r="D19" i="33"/>
  <c r="D45" i="33"/>
  <c r="D102" i="33"/>
  <c r="E101" i="33" s="1"/>
  <c r="E100" i="33" s="1"/>
  <c r="D21" i="33"/>
  <c r="D48" i="33"/>
  <c r="D16" i="33"/>
  <c r="D18" i="33"/>
  <c r="D49" i="33"/>
  <c r="E48" i="33" s="1"/>
  <c r="D20" i="33"/>
  <c r="A29" i="33"/>
  <c r="D40" i="33"/>
  <c r="D22" i="33"/>
  <c r="D43" i="33"/>
  <c r="D24" i="33"/>
  <c r="E23" i="35"/>
  <c r="E41" i="35" s="1"/>
  <c r="D25" i="35"/>
  <c r="E21" i="35"/>
  <c r="T17" i="35"/>
  <c r="T25" i="35" s="1"/>
  <c r="D23" i="35"/>
  <c r="D41" i="35" s="1"/>
  <c r="D21" i="35"/>
  <c r="D39" i="35" s="1"/>
  <c r="F35" i="35"/>
  <c r="AF19" i="35"/>
  <c r="D57" i="34"/>
  <c r="D40" i="34"/>
  <c r="F14" i="34"/>
  <c r="U14" i="34" s="1"/>
  <c r="F15" i="34"/>
  <c r="T15" i="34"/>
  <c r="T25" i="34"/>
  <c r="U16" i="34"/>
  <c r="T14" i="34"/>
  <c r="F21" i="34"/>
  <c r="T21" i="34"/>
  <c r="D42" i="34"/>
  <c r="E17" i="34"/>
  <c r="G27" i="34"/>
  <c r="AB74" i="34"/>
  <c r="V25" i="34"/>
  <c r="W30" i="34"/>
  <c r="I30" i="34"/>
  <c r="E53" i="34"/>
  <c r="V72" i="34"/>
  <c r="V68" i="34"/>
  <c r="U25" i="34"/>
  <c r="X36" i="34"/>
  <c r="I24" i="34"/>
  <c r="D77" i="34"/>
  <c r="D83" i="34" s="1"/>
  <c r="H20" i="34"/>
  <c r="W71" i="34"/>
  <c r="I71" i="34"/>
  <c r="AC70" i="34"/>
  <c r="AA73" i="34"/>
  <c r="W72" i="34"/>
  <c r="I72" i="34"/>
  <c r="I68" i="34"/>
  <c r="W68" i="34"/>
  <c r="AB73" i="34"/>
  <c r="AC69" i="34"/>
  <c r="AA70" i="34"/>
  <c r="V71" i="34"/>
  <c r="G64" i="34"/>
  <c r="F77" i="34"/>
  <c r="U64" i="34"/>
  <c r="I67" i="34"/>
  <c r="W67" i="34"/>
  <c r="H51" i="34"/>
  <c r="G54" i="34"/>
  <c r="U52" i="34"/>
  <c r="G49" i="34"/>
  <c r="G47" i="34"/>
  <c r="U47" i="34"/>
  <c r="G50" i="34"/>
  <c r="V52" i="34"/>
  <c r="H52" i="34"/>
  <c r="V48" i="34"/>
  <c r="H48" i="34"/>
  <c r="V26" i="34"/>
  <c r="G22" i="34"/>
  <c r="U22" i="34"/>
  <c r="I32" i="34"/>
  <c r="G14" i="34"/>
  <c r="U23" i="34"/>
  <c r="G23" i="34"/>
  <c r="H31" i="34"/>
  <c r="G44" i="34"/>
  <c r="H16" i="34"/>
  <c r="V16" i="34"/>
  <c r="I28" i="34"/>
  <c r="H18" i="34"/>
  <c r="W26" i="34"/>
  <c r="I26" i="34"/>
  <c r="M36" i="34"/>
  <c r="AA36" i="34"/>
  <c r="G19" i="34"/>
  <c r="U19" i="34"/>
  <c r="M34" i="34"/>
  <c r="I25" i="34"/>
  <c r="W25" i="34"/>
  <c r="I33" i="34"/>
  <c r="H13" i="34"/>
  <c r="A24" i="44"/>
  <c r="A26" i="44" s="1"/>
  <c r="A29" i="44" s="1"/>
  <c r="C20" i="44"/>
  <c r="C127" i="24"/>
  <c r="C121" i="24"/>
  <c r="C117" i="24"/>
  <c r="D117" i="24" s="1"/>
  <c r="C123" i="24"/>
  <c r="C119" i="24"/>
  <c r="C125" i="24"/>
  <c r="C118" i="24"/>
  <c r="C120" i="24"/>
  <c r="C122" i="24"/>
  <c r="C124" i="24"/>
  <c r="D124" i="24" s="1"/>
  <c r="C126" i="24"/>
  <c r="U81" i="34" l="1"/>
  <c r="U61" i="34"/>
  <c r="D43" i="35"/>
  <c r="A21" i="40"/>
  <c r="C93" i="29"/>
  <c r="G66" i="34"/>
  <c r="F79" i="34"/>
  <c r="D119" i="24"/>
  <c r="D123" i="24"/>
  <c r="D122" i="24"/>
  <c r="E37" i="35"/>
  <c r="E33" i="35"/>
  <c r="E39" i="35" s="1"/>
  <c r="AN19" i="43"/>
  <c r="B39" i="31"/>
  <c r="A37" i="31"/>
  <c r="B37" i="31"/>
  <c r="N21" i="36"/>
  <c r="I108" i="29" s="1"/>
  <c r="N19" i="36"/>
  <c r="E124" i="33"/>
  <c r="E123" i="33" s="1"/>
  <c r="E122" i="33" s="1"/>
  <c r="D120" i="24"/>
  <c r="E23" i="33"/>
  <c r="E22" i="33" s="1"/>
  <c r="E72" i="33"/>
  <c r="E71" i="33" s="1"/>
  <c r="E70" i="33" s="1"/>
  <c r="F94" i="33"/>
  <c r="F117" i="33"/>
  <c r="E47" i="33"/>
  <c r="E46" i="33" s="1"/>
  <c r="F24" i="33"/>
  <c r="G24" i="33" s="1"/>
  <c r="F44" i="33"/>
  <c r="F46" i="33"/>
  <c r="F66" i="33"/>
  <c r="F16" i="33"/>
  <c r="F42" i="33"/>
  <c r="F120" i="33"/>
  <c r="F71" i="33"/>
  <c r="F121" i="33"/>
  <c r="F74" i="33"/>
  <c r="G74" i="33" s="1"/>
  <c r="F48" i="33"/>
  <c r="G48" i="33" s="1"/>
  <c r="F17" i="33"/>
  <c r="F18" i="33"/>
  <c r="F49" i="33"/>
  <c r="G49" i="33" s="1"/>
  <c r="F122" i="33"/>
  <c r="F73" i="33"/>
  <c r="G73" i="33" s="1"/>
  <c r="F123" i="33"/>
  <c r="F15" i="33"/>
  <c r="F39" i="33"/>
  <c r="F20" i="33"/>
  <c r="F98" i="33"/>
  <c r="F124" i="33"/>
  <c r="F116" i="33"/>
  <c r="F125" i="33"/>
  <c r="G125" i="33" s="1"/>
  <c r="F41" i="33"/>
  <c r="F22" i="33"/>
  <c r="F99" i="33"/>
  <c r="F68" i="33"/>
  <c r="F45" i="33"/>
  <c r="F127" i="33"/>
  <c r="G127" i="33" s="1"/>
  <c r="A30" i="33"/>
  <c r="A31" i="33" s="1"/>
  <c r="F21" i="33"/>
  <c r="F64" i="33"/>
  <c r="F50" i="33"/>
  <c r="G50" i="33" s="1"/>
  <c r="F91" i="33"/>
  <c r="F101" i="33"/>
  <c r="G101" i="33" s="1"/>
  <c r="F23" i="33"/>
  <c r="F75" i="33"/>
  <c r="G75" i="33" s="1"/>
  <c r="F40" i="33"/>
  <c r="F96" i="33"/>
  <c r="F65" i="33"/>
  <c r="F102" i="33"/>
  <c r="G102" i="33" s="1"/>
  <c r="F14" i="33"/>
  <c r="F70" i="33"/>
  <c r="F95" i="33"/>
  <c r="F92" i="33"/>
  <c r="F97" i="33"/>
  <c r="F67" i="33"/>
  <c r="F19" i="33"/>
  <c r="F126" i="33"/>
  <c r="G126" i="33" s="1"/>
  <c r="F47" i="33"/>
  <c r="E99" i="33"/>
  <c r="F43" i="33"/>
  <c r="F25" i="33"/>
  <c r="G25" i="33" s="1"/>
  <c r="F72" i="33"/>
  <c r="F100" i="33"/>
  <c r="G100" i="33" s="1"/>
  <c r="F93" i="33"/>
  <c r="F118" i="33"/>
  <c r="F69" i="33"/>
  <c r="F119" i="33"/>
  <c r="F23" i="35"/>
  <c r="F41" i="35" s="1"/>
  <c r="E25" i="35"/>
  <c r="U17" i="35"/>
  <c r="G35" i="35"/>
  <c r="J30" i="34"/>
  <c r="X30" i="34"/>
  <c r="F53" i="34"/>
  <c r="E59" i="34"/>
  <c r="E57" i="34"/>
  <c r="H27" i="34"/>
  <c r="E42" i="34"/>
  <c r="F17" i="34"/>
  <c r="G21" i="34"/>
  <c r="U21" i="34"/>
  <c r="G15" i="34"/>
  <c r="U15" i="34"/>
  <c r="J24" i="34"/>
  <c r="I20" i="34"/>
  <c r="E40" i="34"/>
  <c r="J68" i="34"/>
  <c r="X68" i="34"/>
  <c r="J72" i="34"/>
  <c r="X72" i="34"/>
  <c r="G77" i="34"/>
  <c r="H64" i="34"/>
  <c r="V64" i="34"/>
  <c r="V81" i="34" s="1"/>
  <c r="J71" i="34"/>
  <c r="X71" i="34"/>
  <c r="J67" i="34"/>
  <c r="X67" i="34"/>
  <c r="I48" i="34"/>
  <c r="W48" i="34"/>
  <c r="V47" i="34"/>
  <c r="H47" i="34"/>
  <c r="H54" i="34"/>
  <c r="I51" i="34"/>
  <c r="H50" i="34"/>
  <c r="I52" i="34"/>
  <c r="W52" i="34"/>
  <c r="H49" i="34"/>
  <c r="V49" i="34"/>
  <c r="H19" i="34"/>
  <c r="V19" i="34"/>
  <c r="I18" i="34"/>
  <c r="I31" i="34"/>
  <c r="H44" i="34"/>
  <c r="H14" i="34"/>
  <c r="V14" i="34"/>
  <c r="J32" i="34"/>
  <c r="X26" i="34"/>
  <c r="J26" i="34"/>
  <c r="J28" i="34"/>
  <c r="N36" i="34"/>
  <c r="AB36" i="34"/>
  <c r="J25" i="34"/>
  <c r="X25" i="34"/>
  <c r="J33" i="34"/>
  <c r="W16" i="34"/>
  <c r="I16" i="34"/>
  <c r="H22" i="34"/>
  <c r="V22" i="34"/>
  <c r="H23" i="34"/>
  <c r="V23" i="34"/>
  <c r="N34" i="34"/>
  <c r="I13" i="34"/>
  <c r="W13" i="34"/>
  <c r="A30" i="44"/>
  <c r="A32" i="44" s="1"/>
  <c r="C32" i="44"/>
  <c r="C26" i="44"/>
  <c r="D121" i="24"/>
  <c r="D126" i="24"/>
  <c r="D118" i="24"/>
  <c r="D127" i="24"/>
  <c r="E126" i="24" s="1"/>
  <c r="D125" i="24"/>
  <c r="V61" i="34" l="1"/>
  <c r="E43" i="35"/>
  <c r="A39" i="31"/>
  <c r="C105" i="29"/>
  <c r="H66" i="34"/>
  <c r="G79" i="34"/>
  <c r="C94" i="29"/>
  <c r="A22" i="40"/>
  <c r="G123" i="33"/>
  <c r="G124" i="33"/>
  <c r="F37" i="35"/>
  <c r="F33" i="35"/>
  <c r="B31" i="33"/>
  <c r="G22" i="33"/>
  <c r="G72" i="33"/>
  <c r="G71" i="33"/>
  <c r="G47" i="33"/>
  <c r="G23" i="33"/>
  <c r="G122" i="33"/>
  <c r="E121" i="33"/>
  <c r="G99" i="33"/>
  <c r="E98" i="33"/>
  <c r="A33" i="33"/>
  <c r="A35" i="33" s="1"/>
  <c r="A38" i="33" s="1"/>
  <c r="E21" i="33"/>
  <c r="G46" i="33"/>
  <c r="E45" i="33"/>
  <c r="G70" i="33"/>
  <c r="E69" i="33"/>
  <c r="U25" i="35"/>
  <c r="F25" i="35"/>
  <c r="V17" i="35"/>
  <c r="V25" i="35" s="1"/>
  <c r="F21" i="35"/>
  <c r="G23" i="35"/>
  <c r="G41" i="35" s="1"/>
  <c r="H35" i="35"/>
  <c r="H21" i="34"/>
  <c r="V21" i="34"/>
  <c r="K30" i="34"/>
  <c r="Y30" i="34"/>
  <c r="F40" i="34"/>
  <c r="G17" i="34"/>
  <c r="F42" i="34"/>
  <c r="G53" i="34"/>
  <c r="F59" i="34"/>
  <c r="F57" i="34"/>
  <c r="K24" i="34"/>
  <c r="E83" i="34"/>
  <c r="H15" i="34"/>
  <c r="V15" i="34"/>
  <c r="J20" i="34"/>
  <c r="I27" i="34"/>
  <c r="K71" i="34"/>
  <c r="Y71" i="34"/>
  <c r="W64" i="34"/>
  <c r="W81" i="34" s="1"/>
  <c r="H77" i="34"/>
  <c r="I64" i="34"/>
  <c r="K67" i="34"/>
  <c r="Y67" i="34"/>
  <c r="K72" i="34"/>
  <c r="Y72" i="34"/>
  <c r="K68" i="34"/>
  <c r="Y68" i="34"/>
  <c r="I47" i="34"/>
  <c r="W47" i="34"/>
  <c r="W61" i="34" s="1"/>
  <c r="I49" i="34"/>
  <c r="W49" i="34"/>
  <c r="X48" i="34"/>
  <c r="J48" i="34"/>
  <c r="I50" i="34"/>
  <c r="J51" i="34"/>
  <c r="X52" i="34"/>
  <c r="J52" i="34"/>
  <c r="I54" i="34"/>
  <c r="W14" i="34"/>
  <c r="I14" i="34"/>
  <c r="K32" i="34"/>
  <c r="AC36" i="34"/>
  <c r="O36" i="34"/>
  <c r="AD36" i="34" s="1"/>
  <c r="X16" i="34"/>
  <c r="J16" i="34"/>
  <c r="J18" i="34"/>
  <c r="K25" i="34"/>
  <c r="Y25" i="34"/>
  <c r="O34" i="34"/>
  <c r="K28" i="34"/>
  <c r="K26" i="34"/>
  <c r="Y26" i="34"/>
  <c r="J31" i="34"/>
  <c r="I44" i="34"/>
  <c r="W22" i="34"/>
  <c r="I22" i="34"/>
  <c r="I23" i="34"/>
  <c r="W23" i="34"/>
  <c r="K33" i="34"/>
  <c r="I19" i="34"/>
  <c r="W19" i="34"/>
  <c r="X13" i="34"/>
  <c r="J13" i="34"/>
  <c r="A35" i="44"/>
  <c r="E125" i="24"/>
  <c r="E124" i="24"/>
  <c r="F43" i="35" l="1"/>
  <c r="I66" i="34"/>
  <c r="H79" i="34"/>
  <c r="F39" i="35"/>
  <c r="A23" i="40"/>
  <c r="A24" i="40" s="1"/>
  <c r="C95" i="29"/>
  <c r="C48" i="29"/>
  <c r="C41" i="29"/>
  <c r="C29" i="44"/>
  <c r="G37" i="35"/>
  <c r="G33" i="35"/>
  <c r="A39" i="33"/>
  <c r="A40" i="33" s="1"/>
  <c r="A41" i="33" s="1"/>
  <c r="A42" i="33" s="1"/>
  <c r="A43" i="33" s="1"/>
  <c r="A44" i="33" s="1"/>
  <c r="A45" i="33" s="1"/>
  <c r="A46" i="33" s="1"/>
  <c r="A47" i="33" s="1"/>
  <c r="A48" i="33" s="1"/>
  <c r="A49" i="33" s="1"/>
  <c r="A50" i="33" s="1"/>
  <c r="B58" i="33" s="1"/>
  <c r="G21" i="33"/>
  <c r="E20" i="33"/>
  <c r="B35" i="33"/>
  <c r="G69" i="33"/>
  <c r="E68" i="33"/>
  <c r="G121" i="33"/>
  <c r="E120" i="33"/>
  <c r="G98" i="33"/>
  <c r="E97" i="33"/>
  <c r="G45" i="33"/>
  <c r="E44" i="33"/>
  <c r="H23" i="35"/>
  <c r="H41" i="35" s="1"/>
  <c r="H21" i="35"/>
  <c r="W17" i="35"/>
  <c r="W25" i="35" s="1"/>
  <c r="G25" i="35"/>
  <c r="G21" i="35"/>
  <c r="I35" i="35"/>
  <c r="K20" i="34"/>
  <c r="L30" i="34"/>
  <c r="Z30" i="34"/>
  <c r="W15" i="34"/>
  <c r="I15" i="34"/>
  <c r="G42" i="34"/>
  <c r="H17" i="34"/>
  <c r="H40" i="34" s="1"/>
  <c r="G40" i="34"/>
  <c r="H53" i="34"/>
  <c r="G57" i="34"/>
  <c r="G59" i="34"/>
  <c r="L24" i="34"/>
  <c r="F83" i="34"/>
  <c r="I21" i="34"/>
  <c r="W21" i="34"/>
  <c r="J27" i="34"/>
  <c r="L72" i="34"/>
  <c r="Z72" i="34"/>
  <c r="L67" i="34"/>
  <c r="Z67" i="34"/>
  <c r="J64" i="34"/>
  <c r="I77" i="34"/>
  <c r="X64" i="34"/>
  <c r="X81" i="34" s="1"/>
  <c r="L68" i="34"/>
  <c r="Z68" i="34"/>
  <c r="L71" i="34"/>
  <c r="Z71" i="34"/>
  <c r="K48" i="34"/>
  <c r="Y48" i="34"/>
  <c r="J49" i="34"/>
  <c r="X49" i="34"/>
  <c r="K52" i="34"/>
  <c r="Y52" i="34"/>
  <c r="K51" i="34"/>
  <c r="J50" i="34"/>
  <c r="X47" i="34"/>
  <c r="J47" i="34"/>
  <c r="J54" i="34"/>
  <c r="J23" i="34"/>
  <c r="X23" i="34"/>
  <c r="J44" i="34"/>
  <c r="K31" i="34"/>
  <c r="L25" i="34"/>
  <c r="Z25" i="34"/>
  <c r="K18" i="34"/>
  <c r="L26" i="34"/>
  <c r="Z26" i="34"/>
  <c r="J14" i="34"/>
  <c r="X14" i="34"/>
  <c r="K16" i="34"/>
  <c r="Y16" i="34"/>
  <c r="J19" i="34"/>
  <c r="X19" i="34"/>
  <c r="X22" i="34"/>
  <c r="J22" i="34"/>
  <c r="L28" i="34"/>
  <c r="L33" i="34"/>
  <c r="L32" i="34"/>
  <c r="K13" i="34"/>
  <c r="Y13" i="34"/>
  <c r="A36" i="44"/>
  <c r="E123" i="24"/>
  <c r="X61" i="34" l="1"/>
  <c r="G43" i="35"/>
  <c r="J66" i="34"/>
  <c r="I79" i="34"/>
  <c r="G83" i="34"/>
  <c r="C96" i="29"/>
  <c r="A27" i="40"/>
  <c r="G39" i="35"/>
  <c r="H33" i="35"/>
  <c r="H39" i="35" s="1"/>
  <c r="H37" i="35"/>
  <c r="G68" i="33"/>
  <c r="E67" i="33"/>
  <c r="G44" i="33"/>
  <c r="E43" i="33"/>
  <c r="G20" i="33"/>
  <c r="E19" i="33"/>
  <c r="A51" i="33"/>
  <c r="G97" i="33"/>
  <c r="E96" i="33"/>
  <c r="G120" i="33"/>
  <c r="E119" i="33"/>
  <c r="B51" i="33"/>
  <c r="I23" i="35"/>
  <c r="I41" i="35" s="1"/>
  <c r="I21" i="35"/>
  <c r="X17" i="35"/>
  <c r="X25" i="35" s="1"/>
  <c r="H25" i="35"/>
  <c r="J35" i="35"/>
  <c r="J21" i="34"/>
  <c r="X21" i="34"/>
  <c r="M24" i="34"/>
  <c r="M30" i="34"/>
  <c r="AA30" i="34"/>
  <c r="I53" i="34"/>
  <c r="H57" i="34"/>
  <c r="H83" i="34" s="1"/>
  <c r="H59" i="34"/>
  <c r="I17" i="34"/>
  <c r="I40" i="34" s="1"/>
  <c r="H42" i="34"/>
  <c r="L20" i="34"/>
  <c r="K27" i="34"/>
  <c r="X15" i="34"/>
  <c r="J15" i="34"/>
  <c r="J77" i="34"/>
  <c r="K64" i="34"/>
  <c r="Y64" i="34"/>
  <c r="Y81" i="34" s="1"/>
  <c r="AA67" i="34"/>
  <c r="M67" i="34"/>
  <c r="AA71" i="34"/>
  <c r="M71" i="34"/>
  <c r="M68" i="34"/>
  <c r="AA68" i="34"/>
  <c r="M72" i="34"/>
  <c r="AA72" i="34"/>
  <c r="K50" i="34"/>
  <c r="L52" i="34"/>
  <c r="Z52" i="34"/>
  <c r="K49" i="34"/>
  <c r="Y49" i="34"/>
  <c r="L51" i="34"/>
  <c r="K54" i="34"/>
  <c r="K47" i="34"/>
  <c r="Y47" i="34"/>
  <c r="Y61" i="34" s="1"/>
  <c r="L48" i="34"/>
  <c r="Z48" i="34"/>
  <c r="M25" i="34"/>
  <c r="AA25" i="34"/>
  <c r="K22" i="34"/>
  <c r="Y22" i="34"/>
  <c r="K19" i="34"/>
  <c r="Y19" i="34"/>
  <c r="L31" i="34"/>
  <c r="K44" i="34"/>
  <c r="K14" i="34"/>
  <c r="Y14" i="34"/>
  <c r="M33" i="34"/>
  <c r="M26" i="34"/>
  <c r="AA26" i="34"/>
  <c r="M32" i="34"/>
  <c r="K23" i="34"/>
  <c r="Y23" i="34"/>
  <c r="M28" i="34"/>
  <c r="L16" i="34"/>
  <c r="Z16" i="34"/>
  <c r="L18" i="34"/>
  <c r="L13" i="34"/>
  <c r="Z13" i="34"/>
  <c r="A37" i="44"/>
  <c r="A38" i="44" s="1"/>
  <c r="C41" i="44"/>
  <c r="E122" i="24"/>
  <c r="H43" i="35" l="1"/>
  <c r="A28" i="40"/>
  <c r="C113" i="29"/>
  <c r="J79" i="34"/>
  <c r="K66" i="34"/>
  <c r="I37" i="35"/>
  <c r="I33" i="35"/>
  <c r="I39" i="35" s="1"/>
  <c r="A54" i="33"/>
  <c r="G19" i="33"/>
  <c r="E18" i="33"/>
  <c r="G43" i="33"/>
  <c r="E42" i="33"/>
  <c r="G96" i="33"/>
  <c r="E95" i="33"/>
  <c r="G67" i="33"/>
  <c r="E66" i="33"/>
  <c r="G119" i="33"/>
  <c r="E118" i="33"/>
  <c r="J21" i="35"/>
  <c r="Y17" i="35"/>
  <c r="Y25" i="35" s="1"/>
  <c r="I25" i="35"/>
  <c r="J23" i="35"/>
  <c r="J41" i="35" s="1"/>
  <c r="K35" i="35"/>
  <c r="L27" i="34"/>
  <c r="M20" i="34"/>
  <c r="N24" i="34"/>
  <c r="J53" i="34"/>
  <c r="I57" i="34"/>
  <c r="I83" i="34" s="1"/>
  <c r="I59" i="34"/>
  <c r="N30" i="34"/>
  <c r="AB30" i="34"/>
  <c r="Y15" i="34"/>
  <c r="K15" i="34"/>
  <c r="I42" i="34"/>
  <c r="J17" i="34"/>
  <c r="K21" i="34"/>
  <c r="Y21" i="34"/>
  <c r="N71" i="34"/>
  <c r="AB71" i="34"/>
  <c r="N67" i="34"/>
  <c r="AB67" i="34"/>
  <c r="N72" i="34"/>
  <c r="AB72" i="34"/>
  <c r="L64" i="34"/>
  <c r="K77" i="34"/>
  <c r="Z64" i="34"/>
  <c r="Z81" i="34" s="1"/>
  <c r="N68" i="34"/>
  <c r="AB68" i="34"/>
  <c r="Z49" i="34"/>
  <c r="L49" i="34"/>
  <c r="M52" i="34"/>
  <c r="AA52" i="34"/>
  <c r="M48" i="34"/>
  <c r="AA48" i="34"/>
  <c r="L50" i="34"/>
  <c r="L54" i="34"/>
  <c r="L47" i="34"/>
  <c r="Z47" i="34"/>
  <c r="Z61" i="34" s="1"/>
  <c r="M51" i="34"/>
  <c r="L22" i="34"/>
  <c r="Z22" i="34"/>
  <c r="N26" i="34"/>
  <c r="AB26" i="34"/>
  <c r="N32" i="34"/>
  <c r="L14" i="34"/>
  <c r="Z14" i="34"/>
  <c r="M16" i="34"/>
  <c r="AA16" i="34"/>
  <c r="N28" i="34"/>
  <c r="L44" i="34"/>
  <c r="M31" i="34"/>
  <c r="L23" i="34"/>
  <c r="Z23" i="34"/>
  <c r="Z19" i="34"/>
  <c r="L19" i="34"/>
  <c r="N33" i="34"/>
  <c r="M18" i="34"/>
  <c r="N25" i="34"/>
  <c r="AB25" i="34"/>
  <c r="M13" i="34"/>
  <c r="AA13" i="34"/>
  <c r="A39" i="44"/>
  <c r="A41" i="44" s="1"/>
  <c r="C39" i="44"/>
  <c r="E121" i="24"/>
  <c r="I43" i="35" l="1"/>
  <c r="A29" i="40"/>
  <c r="C114" i="29"/>
  <c r="L66" i="34"/>
  <c r="K79" i="34"/>
  <c r="J37" i="35"/>
  <c r="J33" i="35"/>
  <c r="J39" i="35"/>
  <c r="G118" i="33"/>
  <c r="E117" i="33"/>
  <c r="G95" i="33"/>
  <c r="E94" i="33"/>
  <c r="G42" i="33"/>
  <c r="E41" i="33"/>
  <c r="G18" i="33"/>
  <c r="E17" i="33"/>
  <c r="G66" i="33"/>
  <c r="E65" i="33"/>
  <c r="A55" i="33"/>
  <c r="A56" i="33" s="1"/>
  <c r="K23" i="35"/>
  <c r="K41" i="35" s="1"/>
  <c r="J25" i="35"/>
  <c r="Z17" i="35"/>
  <c r="Z25" i="35" s="1"/>
  <c r="L35" i="35"/>
  <c r="K17" i="34"/>
  <c r="J42" i="34"/>
  <c r="O30" i="34"/>
  <c r="AD30" i="34" s="1"/>
  <c r="AC30" i="34"/>
  <c r="N20" i="34"/>
  <c r="K53" i="34"/>
  <c r="J59" i="34"/>
  <c r="J57" i="34"/>
  <c r="M27" i="34"/>
  <c r="O24" i="34"/>
  <c r="J40" i="34"/>
  <c r="Z15" i="34"/>
  <c r="L15" i="34"/>
  <c r="L21" i="34"/>
  <c r="Z21" i="34"/>
  <c r="M64" i="34"/>
  <c r="L77" i="34"/>
  <c r="AA64" i="34"/>
  <c r="AA81" i="34" s="1"/>
  <c r="O72" i="34"/>
  <c r="AD72" i="34" s="1"/>
  <c r="AC72" i="34"/>
  <c r="AC67" i="34"/>
  <c r="O67" i="34"/>
  <c r="AD67" i="34" s="1"/>
  <c r="O68" i="34"/>
  <c r="AD68" i="34" s="1"/>
  <c r="AC68" i="34"/>
  <c r="O71" i="34"/>
  <c r="AD71" i="34" s="1"/>
  <c r="AC71" i="34"/>
  <c r="M54" i="34"/>
  <c r="N51" i="34"/>
  <c r="N52" i="34"/>
  <c r="AB52" i="34"/>
  <c r="M47" i="34"/>
  <c r="AA47" i="34"/>
  <c r="AA61" i="34" s="1"/>
  <c r="M50" i="34"/>
  <c r="AA49" i="34"/>
  <c r="M49" i="34"/>
  <c r="N48" i="34"/>
  <c r="AB48" i="34"/>
  <c r="M19" i="34"/>
  <c r="AA19" i="34"/>
  <c r="O28" i="34"/>
  <c r="M14" i="34"/>
  <c r="AA14" i="34"/>
  <c r="O25" i="34"/>
  <c r="AD25" i="34" s="1"/>
  <c r="AC25" i="34"/>
  <c r="O32" i="34"/>
  <c r="M23" i="34"/>
  <c r="AA23" i="34"/>
  <c r="N18" i="34"/>
  <c r="N31" i="34"/>
  <c r="M44" i="34"/>
  <c r="O26" i="34"/>
  <c r="AD26" i="34" s="1"/>
  <c r="AC26" i="34"/>
  <c r="N16" i="34"/>
  <c r="AB16" i="34"/>
  <c r="O33" i="34"/>
  <c r="AA22" i="34"/>
  <c r="M22" i="34"/>
  <c r="AB13" i="34"/>
  <c r="N13" i="34"/>
  <c r="C43" i="44"/>
  <c r="A43" i="44"/>
  <c r="E120" i="24"/>
  <c r="J43" i="35" l="1"/>
  <c r="L79" i="34"/>
  <c r="M66" i="34"/>
  <c r="J83" i="34"/>
  <c r="C116" i="29"/>
  <c r="A30" i="40"/>
  <c r="K33" i="35"/>
  <c r="K37" i="35"/>
  <c r="B56" i="33"/>
  <c r="A58" i="33"/>
  <c r="A60" i="33" s="1"/>
  <c r="A63" i="33" s="1"/>
  <c r="G94" i="33"/>
  <c r="E93" i="33"/>
  <c r="G65" i="33"/>
  <c r="E64" i="33"/>
  <c r="G64" i="33" s="1"/>
  <c r="G117" i="33"/>
  <c r="E116" i="33"/>
  <c r="G116" i="33" s="1"/>
  <c r="G17" i="33"/>
  <c r="E16" i="33"/>
  <c r="G41" i="33"/>
  <c r="E40" i="33"/>
  <c r="K25" i="35"/>
  <c r="AA17" i="35"/>
  <c r="AA25" i="35" s="1"/>
  <c r="K21" i="35"/>
  <c r="L23" i="35"/>
  <c r="L41" i="35" s="1"/>
  <c r="M35" i="35"/>
  <c r="N27" i="34"/>
  <c r="M21" i="34"/>
  <c r="AA21" i="34"/>
  <c r="O20" i="34"/>
  <c r="M15" i="34"/>
  <c r="AA15" i="34"/>
  <c r="L53" i="34"/>
  <c r="K59" i="34"/>
  <c r="K57" i="34"/>
  <c r="L17" i="34"/>
  <c r="K40" i="34"/>
  <c r="K42" i="34"/>
  <c r="N64" i="34"/>
  <c r="M77" i="34"/>
  <c r="AB64" i="34"/>
  <c r="AB81" i="34" s="1"/>
  <c r="O51" i="34"/>
  <c r="N50" i="34"/>
  <c r="O48" i="34"/>
  <c r="AD48" i="34" s="1"/>
  <c r="AC48" i="34"/>
  <c r="AB47" i="34"/>
  <c r="AB61" i="34" s="1"/>
  <c r="N47" i="34"/>
  <c r="O52" i="34"/>
  <c r="AD52" i="34" s="1"/>
  <c r="AC52" i="34"/>
  <c r="AB49" i="34"/>
  <c r="N49" i="34"/>
  <c r="N54" i="34"/>
  <c r="AB19" i="34"/>
  <c r="N19" i="34"/>
  <c r="O16" i="34"/>
  <c r="AD16" i="34" s="1"/>
  <c r="AC16" i="34"/>
  <c r="N14" i="34"/>
  <c r="AB14" i="34"/>
  <c r="N22" i="34"/>
  <c r="AB22" i="34"/>
  <c r="N44" i="34"/>
  <c r="O31" i="34"/>
  <c r="O18" i="34"/>
  <c r="N23" i="34"/>
  <c r="AB23" i="34"/>
  <c r="O13" i="34"/>
  <c r="AC13" i="34"/>
  <c r="E119" i="24"/>
  <c r="K43" i="35" l="1"/>
  <c r="C117" i="29"/>
  <c r="A33" i="40"/>
  <c r="A34" i="40" s="1"/>
  <c r="M79" i="34"/>
  <c r="N66" i="34"/>
  <c r="K39" i="35"/>
  <c r="L33" i="35"/>
  <c r="L37" i="35"/>
  <c r="B60" i="33"/>
  <c r="G40" i="33"/>
  <c r="E39" i="33"/>
  <c r="G39" i="33" s="1"/>
  <c r="G93" i="33"/>
  <c r="E92" i="33"/>
  <c r="G16" i="33"/>
  <c r="E15" i="33"/>
  <c r="A64" i="33"/>
  <c r="A65" i="33" s="1"/>
  <c r="A66" i="33" s="1"/>
  <c r="A67" i="33" s="1"/>
  <c r="A68" i="33" s="1"/>
  <c r="A69" i="33" s="1"/>
  <c r="A70" i="33" s="1"/>
  <c r="A71" i="33" s="1"/>
  <c r="A72" i="33" s="1"/>
  <c r="A73" i="33" s="1"/>
  <c r="A74" i="33" s="1"/>
  <c r="A75" i="33" s="1"/>
  <c r="B83" i="33" s="1"/>
  <c r="L25" i="35"/>
  <c r="AB17" i="35"/>
  <c r="AB25" i="35" s="1"/>
  <c r="L21" i="35"/>
  <c r="M23" i="35"/>
  <c r="M41" i="35" s="1"/>
  <c r="N35" i="35"/>
  <c r="AB15" i="34"/>
  <c r="N15" i="34"/>
  <c r="M53" i="34"/>
  <c r="L59" i="34"/>
  <c r="L57" i="34"/>
  <c r="K83" i="34"/>
  <c r="AB21" i="34"/>
  <c r="N21" i="34"/>
  <c r="L40" i="34"/>
  <c r="M17" i="34"/>
  <c r="L42" i="34"/>
  <c r="O27" i="34"/>
  <c r="O64" i="34"/>
  <c r="AC64" i="34"/>
  <c r="AC81" i="34" s="1"/>
  <c r="N77" i="34"/>
  <c r="O50" i="34"/>
  <c r="O47" i="34"/>
  <c r="AC47" i="34"/>
  <c r="AC61" i="34" s="1"/>
  <c r="O54" i="34"/>
  <c r="AC49" i="34"/>
  <c r="O49" i="34"/>
  <c r="AD49" i="34" s="1"/>
  <c r="O44" i="34"/>
  <c r="AC14" i="34"/>
  <c r="O14" i="34"/>
  <c r="AD14" i="34" s="1"/>
  <c r="O22" i="34"/>
  <c r="AD22" i="34" s="1"/>
  <c r="AC22" i="34"/>
  <c r="AC23" i="34"/>
  <c r="O23" i="34"/>
  <c r="AD23" i="34" s="1"/>
  <c r="AC19" i="34"/>
  <c r="O19" i="34"/>
  <c r="AD19" i="34" s="1"/>
  <c r="AD13" i="34"/>
  <c r="E118" i="24"/>
  <c r="L43" i="35" l="1"/>
  <c r="A35" i="40"/>
  <c r="A36" i="40" s="1"/>
  <c r="A37" i="40"/>
  <c r="L83" i="34"/>
  <c r="N79" i="34"/>
  <c r="O66" i="34"/>
  <c r="O79" i="34" s="1"/>
  <c r="L39" i="35"/>
  <c r="M33" i="35"/>
  <c r="M37" i="35"/>
  <c r="A76" i="33"/>
  <c r="B87" i="33" s="1"/>
  <c r="B76" i="33"/>
  <c r="G15" i="33"/>
  <c r="E14" i="33"/>
  <c r="G14" i="33" s="1"/>
  <c r="G92" i="33"/>
  <c r="E91" i="33"/>
  <c r="G91" i="33" s="1"/>
  <c r="N21" i="35"/>
  <c r="M25" i="35"/>
  <c r="AC17" i="35"/>
  <c r="AC25" i="35" s="1"/>
  <c r="M21" i="35"/>
  <c r="N23" i="35"/>
  <c r="N41" i="35" s="1"/>
  <c r="O35" i="35"/>
  <c r="AC15" i="34"/>
  <c r="O15" i="34"/>
  <c r="AD15" i="34" s="1"/>
  <c r="M42" i="34"/>
  <c r="M40" i="34"/>
  <c r="N17" i="34"/>
  <c r="O21" i="34"/>
  <c r="AD21" i="34" s="1"/>
  <c r="AC21" i="34"/>
  <c r="N53" i="34"/>
  <c r="M59" i="34"/>
  <c r="M57" i="34"/>
  <c r="AD64" i="34"/>
  <c r="AD81" i="34" s="1"/>
  <c r="L80" i="33" s="1"/>
  <c r="AD47" i="34"/>
  <c r="AD61" i="34" s="1"/>
  <c r="L55" i="33" s="1"/>
  <c r="E117" i="24"/>
  <c r="M39" i="35" l="1"/>
  <c r="M43" i="35"/>
  <c r="M83" i="34"/>
  <c r="O77" i="34"/>
  <c r="A39" i="40"/>
  <c r="A42" i="40" s="1"/>
  <c r="B46" i="40"/>
  <c r="N37" i="35"/>
  <c r="N33" i="35"/>
  <c r="N39" i="35" s="1"/>
  <c r="A79" i="33"/>
  <c r="O23" i="35"/>
  <c r="O41" i="35" s="1"/>
  <c r="N25" i="35"/>
  <c r="AD17" i="35"/>
  <c r="AD25" i="35" s="1"/>
  <c r="O53" i="34"/>
  <c r="N59" i="34"/>
  <c r="N57" i="34"/>
  <c r="N42" i="34"/>
  <c r="N40" i="34"/>
  <c r="O17" i="34"/>
  <c r="E116" i="24"/>
  <c r="N43" i="35" l="1"/>
  <c r="B55" i="40"/>
  <c r="C115" i="29"/>
  <c r="O33" i="35"/>
  <c r="O37" i="35"/>
  <c r="A80" i="33"/>
  <c r="A81" i="33" s="1"/>
  <c r="O25" i="35"/>
  <c r="AE17" i="35"/>
  <c r="O21" i="35"/>
  <c r="O39" i="35" s="1"/>
  <c r="N83" i="34"/>
  <c r="O57" i="34"/>
  <c r="O59" i="34"/>
  <c r="O40" i="34"/>
  <c r="O42" i="34"/>
  <c r="O43" i="35" l="1"/>
  <c r="B81" i="33"/>
  <c r="A83" i="33"/>
  <c r="A85" i="33" s="1"/>
  <c r="A87" i="33" s="1"/>
  <c r="AF17" i="35"/>
  <c r="AF25" i="35" s="1"/>
  <c r="AE25" i="35"/>
  <c r="O83" i="34"/>
  <c r="L107" i="33" l="1"/>
  <c r="A90" i="33"/>
  <c r="C63" i="29"/>
  <c r="A91" i="33"/>
  <c r="A92" i="33" s="1"/>
  <c r="A93" i="33" s="1"/>
  <c r="A94" i="33" s="1"/>
  <c r="A95" i="33" s="1"/>
  <c r="A96" i="33" s="1"/>
  <c r="A97" i="33" s="1"/>
  <c r="A98" i="33" s="1"/>
  <c r="A99" i="33" s="1"/>
  <c r="A100" i="33" s="1"/>
  <c r="A101" i="33" s="1"/>
  <c r="A102" i="33" s="1"/>
  <c r="B110" i="33" s="1"/>
  <c r="B85" i="33"/>
  <c r="A103" i="33" l="1"/>
  <c r="A106" i="33" s="1"/>
  <c r="B103" i="33"/>
  <c r="A107" i="33" l="1"/>
  <c r="B108" i="33"/>
  <c r="A108" i="33" l="1"/>
  <c r="A110" i="33"/>
  <c r="A112" i="33" s="1"/>
  <c r="B112" i="33" l="1"/>
  <c r="A115" i="33"/>
  <c r="A116" i="33" l="1"/>
  <c r="A117" i="33" s="1"/>
  <c r="A118" i="33" s="1"/>
  <c r="A119" i="33" s="1"/>
  <c r="A120" i="33" s="1"/>
  <c r="A121" i="33" s="1"/>
  <c r="A122" i="33" s="1"/>
  <c r="A123" i="33" s="1"/>
  <c r="A124" i="33" s="1"/>
  <c r="A125" i="33" s="1"/>
  <c r="A126" i="33" s="1"/>
  <c r="A127" i="33" s="1"/>
  <c r="B135" i="33" s="1"/>
  <c r="A128" i="33" l="1"/>
  <c r="A131" i="33" s="1"/>
  <c r="B128" i="33"/>
  <c r="A132" i="33" l="1"/>
  <c r="A133" i="33" l="1"/>
  <c r="B133" i="33"/>
  <c r="A135" i="33" l="1"/>
  <c r="A137" i="33" s="1"/>
  <c r="B139" i="33" s="1"/>
  <c r="A139" i="33" l="1"/>
  <c r="C64" i="29" s="1"/>
  <c r="B137" i="33"/>
  <c r="B149" i="24"/>
  <c r="B147" i="24"/>
  <c r="B148" i="24"/>
  <c r="C35" i="30" l="1"/>
  <c r="C34" i="30"/>
  <c r="B31" i="30"/>
  <c r="C11" i="30"/>
  <c r="A4" i="30"/>
  <c r="A2" i="30"/>
  <c r="A30" i="30"/>
  <c r="A12" i="30"/>
  <c r="A13" i="30" s="1"/>
  <c r="A14" i="30" s="1"/>
  <c r="A15" i="30" s="1"/>
  <c r="A16" i="30" s="1"/>
  <c r="A17" i="30" s="1"/>
  <c r="A18" i="30" s="1"/>
  <c r="A19" i="30" s="1"/>
  <c r="A20" i="30" s="1"/>
  <c r="A21" i="30" s="1"/>
  <c r="A22" i="30" s="1"/>
  <c r="A23" i="30" s="1"/>
  <c r="A24" i="30" s="1"/>
  <c r="A7" i="30"/>
  <c r="A1" i="30"/>
  <c r="A4" i="29"/>
  <c r="A148" i="29"/>
  <c r="I131" i="29"/>
  <c r="D131" i="29"/>
  <c r="D138" i="29" s="1"/>
  <c r="B118" i="29"/>
  <c r="B98" i="29"/>
  <c r="B89" i="29"/>
  <c r="B79" i="29"/>
  <c r="B70" i="29"/>
  <c r="B58" i="29"/>
  <c r="B20" i="29"/>
  <c r="A17" i="29"/>
  <c r="A2" i="27"/>
  <c r="A18" i="29" l="1"/>
  <c r="AP12" i="43"/>
  <c r="AP13" i="43"/>
  <c r="AP14" i="43"/>
  <c r="AP15" i="43"/>
  <c r="AP16" i="43"/>
  <c r="AP17" i="43"/>
  <c r="AP18" i="43"/>
  <c r="B26" i="30"/>
  <c r="A26" i="30"/>
  <c r="A22" i="29" l="1"/>
  <c r="A24" i="29" s="1"/>
  <c r="B27" i="30"/>
  <c r="A27" i="30"/>
  <c r="C26" i="29" s="1"/>
  <c r="A26" i="29" l="1"/>
  <c r="A29" i="29" s="1"/>
  <c r="C29" i="29"/>
  <c r="C24" i="29"/>
  <c r="C30" i="29"/>
  <c r="A30" i="29"/>
  <c r="A31" i="29" s="1"/>
  <c r="C31" i="29"/>
  <c r="C33" i="29" l="1"/>
  <c r="C32" i="29"/>
  <c r="A32" i="29"/>
  <c r="C34" i="29" s="1"/>
  <c r="A33" i="29" l="1"/>
  <c r="C35" i="29" s="1"/>
  <c r="A34" i="29" l="1"/>
  <c r="A35" i="29" s="1"/>
  <c r="A40" i="29" s="1"/>
  <c r="A41" i="29" l="1"/>
  <c r="C30" i="44" s="1"/>
  <c r="A42" i="29" l="1"/>
  <c r="A43" i="29" l="1"/>
  <c r="A44" i="29" l="1"/>
  <c r="C44" i="29"/>
  <c r="A47" i="29" l="1"/>
  <c r="C54" i="29" s="1"/>
  <c r="C18" i="44"/>
  <c r="C17" i="44"/>
  <c r="A48" i="29" l="1"/>
  <c r="C55" i="29" s="1"/>
  <c r="A49" i="29" l="1"/>
  <c r="A50" i="29" s="1"/>
  <c r="C56" i="29"/>
  <c r="A51" i="29" l="1"/>
  <c r="A54" i="29" s="1"/>
  <c r="C57" i="29"/>
  <c r="C51" i="29"/>
  <c r="A55" i="29" l="1"/>
  <c r="A56" i="29" s="1"/>
  <c r="A57" i="29" s="1"/>
  <c r="A58" i="29" s="1"/>
  <c r="C24" i="44" l="1"/>
  <c r="C23" i="44"/>
  <c r="A60" i="29"/>
  <c r="A63" i="29" s="1"/>
  <c r="C58" i="29"/>
  <c r="A64" i="29" l="1"/>
  <c r="A65" i="29" s="1"/>
  <c r="A66" i="29" s="1"/>
  <c r="A67" i="29" s="1"/>
  <c r="A68" i="29" s="1"/>
  <c r="A69" i="29" s="1"/>
  <c r="A70" i="29" s="1"/>
  <c r="A72" i="29" s="1"/>
  <c r="A75" i="29" s="1"/>
  <c r="A76" i="29" l="1"/>
  <c r="A77" i="29" s="1"/>
  <c r="A78" i="29" s="1"/>
  <c r="A79" i="29" s="1"/>
  <c r="A81" i="29" s="1"/>
  <c r="C70" i="29"/>
  <c r="A86" i="29" l="1"/>
  <c r="C79" i="29"/>
  <c r="C81" i="29"/>
  <c r="A87" i="29" l="1"/>
  <c r="A88" i="29" s="1"/>
  <c r="A89" i="29" s="1"/>
  <c r="C89" i="29" l="1"/>
  <c r="A92" i="29"/>
  <c r="A93" i="29" l="1"/>
  <c r="A94" i="29" s="1"/>
  <c r="A95" i="29" s="1"/>
  <c r="A96" i="29" s="1"/>
  <c r="A97" i="29" s="1"/>
  <c r="A98" i="29" s="1"/>
  <c r="A100" i="29" l="1"/>
  <c r="A102" i="29" s="1"/>
  <c r="C102" i="29"/>
  <c r="C98" i="29"/>
  <c r="C75" i="29" l="1"/>
  <c r="A105" i="29"/>
  <c r="A106" i="29" l="1"/>
  <c r="A107" i="29" s="1"/>
  <c r="A108" i="29" s="1"/>
  <c r="A109" i="29" s="1"/>
  <c r="A110" i="29" s="1"/>
  <c r="C110" i="29" l="1"/>
  <c r="A113" i="29"/>
  <c r="A114" i="29" l="1"/>
  <c r="A115" i="29" s="1"/>
  <c r="A116" i="29" s="1"/>
  <c r="A117" i="29" s="1"/>
  <c r="A118" i="29" s="1"/>
  <c r="C118" i="29" l="1"/>
  <c r="A121" i="29"/>
  <c r="A122" i="29" l="1"/>
  <c r="C126" i="29"/>
  <c r="A123" i="29" l="1"/>
  <c r="A125" i="29" s="1"/>
  <c r="C125" i="29"/>
  <c r="C123" i="29"/>
  <c r="A126" i="29" l="1"/>
  <c r="A127" i="29" s="1"/>
  <c r="C127" i="29" l="1"/>
  <c r="A130" i="29"/>
  <c r="C131" i="29" l="1"/>
  <c r="A131" i="29"/>
  <c r="A133" i="29" l="1"/>
  <c r="A134" i="29" s="1"/>
  <c r="A137" i="29" s="1"/>
  <c r="C137" i="29"/>
  <c r="A138" i="29" l="1"/>
  <c r="A139" i="29" s="1"/>
  <c r="A140" i="29" s="1"/>
  <c r="C139" i="29"/>
  <c r="C138" i="29"/>
  <c r="C140" i="29" l="1"/>
  <c r="A142" i="29"/>
  <c r="A144" i="29" s="1"/>
  <c r="C14" i="29" s="1"/>
  <c r="C144" i="29" l="1"/>
  <c r="A30" i="18"/>
  <c r="C140" i="1"/>
  <c r="C65" i="1"/>
  <c r="E12" i="28"/>
  <c r="E14" i="28"/>
  <c r="E15" i="28"/>
  <c r="E16" i="28"/>
  <c r="E17" i="28"/>
  <c r="E13" i="28"/>
  <c r="A12" i="28"/>
  <c r="A7" i="28"/>
  <c r="A4" i="28"/>
  <c r="A2" i="28"/>
  <c r="A1" i="28"/>
  <c r="H98" i="27"/>
  <c r="H96" i="27"/>
  <c r="H95" i="27"/>
  <c r="H94" i="27"/>
  <c r="H92" i="27"/>
  <c r="H81" i="27"/>
  <c r="H82" i="27"/>
  <c r="H85" i="27"/>
  <c r="H99" i="27"/>
  <c r="H97" i="27"/>
  <c r="H93" i="27"/>
  <c r="H91" i="27"/>
  <c r="H90" i="27"/>
  <c r="H89" i="27"/>
  <c r="H88" i="27"/>
  <c r="H84" i="27"/>
  <c r="H83" i="27"/>
  <c r="H80" i="27"/>
  <c r="H79" i="27"/>
  <c r="H78" i="27"/>
  <c r="H77" i="27"/>
  <c r="H76" i="27"/>
  <c r="H75" i="27"/>
  <c r="H74" i="27"/>
  <c r="H61" i="27"/>
  <c r="H62" i="27"/>
  <c r="H63" i="27"/>
  <c r="H64" i="27"/>
  <c r="H65" i="27"/>
  <c r="H66" i="27"/>
  <c r="H67" i="27"/>
  <c r="H68" i="27"/>
  <c r="H69" i="27"/>
  <c r="H70" i="27"/>
  <c r="H71" i="27"/>
  <c r="H60" i="27"/>
  <c r="C71" i="27"/>
  <c r="C70" i="27"/>
  <c r="C69" i="27"/>
  <c r="C68" i="27"/>
  <c r="C67" i="27"/>
  <c r="C66" i="27"/>
  <c r="C65" i="27"/>
  <c r="C64" i="27"/>
  <c r="C63" i="27"/>
  <c r="C62" i="27"/>
  <c r="C61" i="27"/>
  <c r="G60" i="27"/>
  <c r="I60" i="27" s="1"/>
  <c r="C60" i="27"/>
  <c r="C74" i="27" s="1"/>
  <c r="A13" i="28" l="1"/>
  <c r="A14" i="28" s="1"/>
  <c r="A15" i="28" s="1"/>
  <c r="A16" i="28" s="1"/>
  <c r="A17" i="28" s="1"/>
  <c r="A18" i="28" s="1"/>
  <c r="E18" i="28"/>
  <c r="E22" i="28" s="1"/>
  <c r="C75" i="27"/>
  <c r="C76" i="27" s="1"/>
  <c r="C77" i="27" s="1"/>
  <c r="C78" i="27" s="1"/>
  <c r="C79" i="27" s="1"/>
  <c r="C80" i="27" s="1"/>
  <c r="C81" i="27" s="1"/>
  <c r="C82" i="27" s="1"/>
  <c r="C83" i="27" s="1"/>
  <c r="C84" i="27" s="1"/>
  <c r="C85" i="27" s="1"/>
  <c r="C88" i="27"/>
  <c r="C89" i="27" s="1"/>
  <c r="C90" i="27" s="1"/>
  <c r="C91" i="27" s="1"/>
  <c r="C92" i="27" s="1"/>
  <c r="C93" i="27" s="1"/>
  <c r="C94" i="27" s="1"/>
  <c r="C95" i="27" s="1"/>
  <c r="C96" i="27" s="1"/>
  <c r="C97" i="27" s="1"/>
  <c r="C98" i="27" s="1"/>
  <c r="C99" i="27" s="1"/>
  <c r="E12" i="49" l="1"/>
  <c r="F110" i="27"/>
  <c r="A20" i="28"/>
  <c r="A22" i="28" s="1"/>
  <c r="D18" i="28"/>
  <c r="G13" i="27"/>
  <c r="I13" i="27" s="1"/>
  <c r="D22" i="28" l="1"/>
  <c r="A24" i="28"/>
  <c r="A27" i="28" s="1"/>
  <c r="A14" i="27"/>
  <c r="A15" i="27" s="1"/>
  <c r="A16" i="27" s="1"/>
  <c r="A17" i="27" s="1"/>
  <c r="A18" i="27" s="1"/>
  <c r="A19" i="27" s="1"/>
  <c r="A20" i="27" s="1"/>
  <c r="A21" i="27" s="1"/>
  <c r="A22" i="27" s="1"/>
  <c r="A23" i="27" s="1"/>
  <c r="A24" i="27" s="1"/>
  <c r="A27" i="27" s="1"/>
  <c r="A28" i="27" s="1"/>
  <c r="A29" i="27" s="1"/>
  <c r="A30" i="27" s="1"/>
  <c r="A31" i="27" s="1"/>
  <c r="A32" i="27" s="1"/>
  <c r="A33" i="27" s="1"/>
  <c r="A34" i="27" s="1"/>
  <c r="A35" i="27" s="1"/>
  <c r="A36" i="27" s="1"/>
  <c r="A37" i="27" s="1"/>
  <c r="A38" i="27" s="1"/>
  <c r="A41" i="27" s="1"/>
  <c r="C14" i="27"/>
  <c r="C15" i="27"/>
  <c r="C16" i="27"/>
  <c r="C17" i="27"/>
  <c r="C18" i="27"/>
  <c r="C19" i="27"/>
  <c r="C20" i="27"/>
  <c r="C21" i="27"/>
  <c r="C22" i="27"/>
  <c r="C23" i="27"/>
  <c r="C24" i="27"/>
  <c r="C13" i="27"/>
  <c r="A7" i="27"/>
  <c r="D29" i="28" l="1"/>
  <c r="A28" i="28"/>
  <c r="A29" i="28" s="1"/>
  <c r="D28" i="28"/>
  <c r="J102" i="27"/>
  <c r="A42" i="27"/>
  <c r="A43" i="27" s="1"/>
  <c r="A44" i="27" s="1"/>
  <c r="A45" i="27" s="1"/>
  <c r="A46" i="27" s="1"/>
  <c r="A47" i="27" s="1"/>
  <c r="A48" i="27" s="1"/>
  <c r="A49" i="27" s="1"/>
  <c r="A50" i="27" s="1"/>
  <c r="A51" i="27" s="1"/>
  <c r="A52" i="27" s="1"/>
  <c r="A54" i="27" s="1"/>
  <c r="J55" i="27"/>
  <c r="C27" i="27"/>
  <c r="D31" i="28" l="1"/>
  <c r="D30" i="28"/>
  <c r="A30" i="28"/>
  <c r="A55" i="27"/>
  <c r="A56" i="27" s="1"/>
  <c r="A60" i="27" s="1"/>
  <c r="A61" i="27" s="1"/>
  <c r="A62" i="27" s="1"/>
  <c r="A63" i="27" s="1"/>
  <c r="A64" i="27" s="1"/>
  <c r="A65" i="27" s="1"/>
  <c r="A66" i="27" s="1"/>
  <c r="A67" i="27" s="1"/>
  <c r="A68" i="27" s="1"/>
  <c r="A69" i="27" s="1"/>
  <c r="A70" i="27" s="1"/>
  <c r="A71" i="27" s="1"/>
  <c r="A74" i="27" s="1"/>
  <c r="A75" i="27" s="1"/>
  <c r="A76" i="27" s="1"/>
  <c r="A77" i="27" s="1"/>
  <c r="A78" i="27" s="1"/>
  <c r="A79" i="27" s="1"/>
  <c r="A80" i="27" s="1"/>
  <c r="A81" i="27" s="1"/>
  <c r="A82" i="27" s="1"/>
  <c r="A83" i="27" s="1"/>
  <c r="A84" i="27" s="1"/>
  <c r="A85" i="27" s="1"/>
  <c r="A88" i="27" s="1"/>
  <c r="A89" i="27" s="1"/>
  <c r="A90" i="27" s="1"/>
  <c r="A91" i="27" s="1"/>
  <c r="A92" i="27" s="1"/>
  <c r="A93" i="27" s="1"/>
  <c r="A94" i="27" s="1"/>
  <c r="A95" i="27" s="1"/>
  <c r="A96" i="27" s="1"/>
  <c r="A97" i="27" s="1"/>
  <c r="A98" i="27" s="1"/>
  <c r="A99" i="27" s="1"/>
  <c r="A101" i="27" s="1"/>
  <c r="C22" i="29"/>
  <c r="D61" i="27"/>
  <c r="D70" i="27"/>
  <c r="D67" i="27"/>
  <c r="D68" i="27"/>
  <c r="D62" i="27"/>
  <c r="D71" i="27"/>
  <c r="D63" i="27"/>
  <c r="D60" i="27"/>
  <c r="D64" i="27"/>
  <c r="D69" i="27"/>
  <c r="D65" i="27"/>
  <c r="D66" i="27"/>
  <c r="B56" i="27"/>
  <c r="B54" i="27"/>
  <c r="C28" i="27"/>
  <c r="C29" i="27" s="1"/>
  <c r="C30" i="27" s="1"/>
  <c r="C31" i="27" s="1"/>
  <c r="C32" i="27" s="1"/>
  <c r="C33" i="27" s="1"/>
  <c r="C34" i="27" s="1"/>
  <c r="C35" i="27" s="1"/>
  <c r="C36" i="27" s="1"/>
  <c r="C37" i="27" s="1"/>
  <c r="C38" i="27" s="1"/>
  <c r="C41" i="27"/>
  <c r="C42" i="27" s="1"/>
  <c r="C43" i="27" s="1"/>
  <c r="C44" i="27" s="1"/>
  <c r="C45" i="27" s="1"/>
  <c r="C46" i="27" s="1"/>
  <c r="C47" i="27" s="1"/>
  <c r="C48" i="27" s="1"/>
  <c r="C49" i="27" s="1"/>
  <c r="C50" i="27" s="1"/>
  <c r="C51" i="27" s="1"/>
  <c r="C52" i="27" s="1"/>
  <c r="A31" i="28" l="1"/>
  <c r="D23" i="27"/>
  <c r="D13" i="27"/>
  <c r="A102" i="27"/>
  <c r="A103" i="27" s="1"/>
  <c r="B101" i="27"/>
  <c r="D16" i="27"/>
  <c r="K60" i="27"/>
  <c r="E61" i="27"/>
  <c r="E62" i="27" s="1"/>
  <c r="E63" i="27" s="1"/>
  <c r="E64" i="27" s="1"/>
  <c r="D24" i="27"/>
  <c r="D21" i="27"/>
  <c r="D14" i="27"/>
  <c r="D17" i="27"/>
  <c r="D18" i="27"/>
  <c r="D19" i="27"/>
  <c r="D22" i="27"/>
  <c r="D15" i="27"/>
  <c r="D20" i="27"/>
  <c r="A32" i="28" l="1"/>
  <c r="A33" i="28" s="1"/>
  <c r="B103" i="27"/>
  <c r="G61" i="27"/>
  <c r="I61" i="27" s="1"/>
  <c r="E14" i="27"/>
  <c r="G14" i="27" s="1"/>
  <c r="I14" i="27" s="1"/>
  <c r="K13" i="27"/>
  <c r="K61" i="27" l="1"/>
  <c r="G62" i="27"/>
  <c r="I62" i="27" s="1"/>
  <c r="F63" i="27" s="1"/>
  <c r="K14" i="27"/>
  <c r="E15" i="27"/>
  <c r="K62" i="27" l="1"/>
  <c r="F64" i="27"/>
  <c r="F65" i="27" s="1"/>
  <c r="G63" i="27"/>
  <c r="I63" i="27" s="1"/>
  <c r="G15" i="27"/>
  <c r="I15" i="27" s="1"/>
  <c r="E16" i="27"/>
  <c r="K63" i="27" l="1"/>
  <c r="G64" i="27"/>
  <c r="I64" i="27" s="1"/>
  <c r="E65" i="27"/>
  <c r="E17" i="27"/>
  <c r="K15" i="27"/>
  <c r="F16" i="27"/>
  <c r="F17" i="27" s="1"/>
  <c r="F18" i="27" s="1"/>
  <c r="K64" i="27" l="1"/>
  <c r="G65" i="27"/>
  <c r="I65" i="27" s="1"/>
  <c r="K65" i="27" s="1"/>
  <c r="E66" i="27"/>
  <c r="G16" i="27"/>
  <c r="I16" i="27" s="1"/>
  <c r="E18" i="27"/>
  <c r="G17" i="27"/>
  <c r="I17" i="27" s="1"/>
  <c r="F66" i="27" l="1"/>
  <c r="F67" i="27" s="1"/>
  <c r="F68" i="27" s="1"/>
  <c r="E67" i="27"/>
  <c r="E19" i="27"/>
  <c r="G18" i="27"/>
  <c r="I18" i="27" s="1"/>
  <c r="K18" i="27" s="1"/>
  <c r="K17" i="27"/>
  <c r="K16" i="27"/>
  <c r="G66" i="27" l="1"/>
  <c r="I66" i="27" s="1"/>
  <c r="G67" i="27"/>
  <c r="I67" i="27" s="1"/>
  <c r="E68" i="27"/>
  <c r="F19" i="27"/>
  <c r="F20" i="27" s="1"/>
  <c r="F21" i="27" s="1"/>
  <c r="E20" i="27"/>
  <c r="G19" i="27" l="1"/>
  <c r="I19" i="27" s="1"/>
  <c r="K19" i="27" s="1"/>
  <c r="K67" i="27"/>
  <c r="K66" i="27"/>
  <c r="G68" i="27"/>
  <c r="I68" i="27" s="1"/>
  <c r="K68" i="27" s="1"/>
  <c r="E69" i="27"/>
  <c r="E21" i="27"/>
  <c r="G20" i="27"/>
  <c r="I20" i="27" s="1"/>
  <c r="E70" i="27" l="1"/>
  <c r="F69" i="27"/>
  <c r="F70" i="27" s="1"/>
  <c r="F71" i="27" s="1"/>
  <c r="K20" i="27"/>
  <c r="E22" i="27"/>
  <c r="E23" i="27" s="1"/>
  <c r="E24" i="27" s="1"/>
  <c r="E27" i="27" s="1"/>
  <c r="E28" i="27" s="1"/>
  <c r="E29" i="27" s="1"/>
  <c r="E30" i="27" s="1"/>
  <c r="E31" i="27" s="1"/>
  <c r="E32" i="27" s="1"/>
  <c r="E33" i="27" s="1"/>
  <c r="E34" i="27" s="1"/>
  <c r="E35" i="27" s="1"/>
  <c r="E36" i="27" s="1"/>
  <c r="E37" i="27" s="1"/>
  <c r="E38" i="27" s="1"/>
  <c r="E41" i="27" s="1"/>
  <c r="E42" i="27" s="1"/>
  <c r="E43" i="27" s="1"/>
  <c r="E44" i="27" s="1"/>
  <c r="E45" i="27" s="1"/>
  <c r="E46" i="27" s="1"/>
  <c r="E47" i="27" s="1"/>
  <c r="E48" i="27" s="1"/>
  <c r="E49" i="27" s="1"/>
  <c r="E50" i="27" s="1"/>
  <c r="E51" i="27" s="1"/>
  <c r="E52" i="27" s="1"/>
  <c r="G21" i="27"/>
  <c r="I21" i="27" s="1"/>
  <c r="G70" i="27" l="1"/>
  <c r="I70" i="27" s="1"/>
  <c r="E71" i="27"/>
  <c r="G69" i="27"/>
  <c r="I69" i="27" s="1"/>
  <c r="K69" i="27" s="1"/>
  <c r="F22" i="27"/>
  <c r="K21" i="27"/>
  <c r="K70" i="27" l="1"/>
  <c r="G71" i="27"/>
  <c r="I71" i="27" s="1"/>
  <c r="K71" i="27" s="1"/>
  <c r="E74" i="27"/>
  <c r="F23" i="27"/>
  <c r="G22" i="27"/>
  <c r="I22" i="27" s="1"/>
  <c r="F74" i="27" l="1"/>
  <c r="F75" i="27" s="1"/>
  <c r="F76" i="27" s="1"/>
  <c r="K22" i="27"/>
  <c r="E75" i="27"/>
  <c r="F24" i="27"/>
  <c r="G24" i="27" s="1"/>
  <c r="I24" i="27" s="1"/>
  <c r="G23" i="27"/>
  <c r="I23" i="27" s="1"/>
  <c r="K23" i="27" s="1"/>
  <c r="G74" i="27" l="1"/>
  <c r="I74" i="27" s="1"/>
  <c r="K74" i="27" s="1"/>
  <c r="G75" i="27"/>
  <c r="I75" i="27" s="1"/>
  <c r="K75" i="27" s="1"/>
  <c r="E76" i="27"/>
  <c r="F27" i="27"/>
  <c r="G27" i="27" s="1"/>
  <c r="I27" i="27" s="1"/>
  <c r="K24" i="27"/>
  <c r="F28" i="27" l="1"/>
  <c r="F29" i="27" s="1"/>
  <c r="G29" i="27" s="1"/>
  <c r="I29" i="27" s="1"/>
  <c r="K27" i="27"/>
  <c r="G76" i="27"/>
  <c r="I76" i="27" s="1"/>
  <c r="K76" i="27" s="1"/>
  <c r="E77" i="27"/>
  <c r="G28" i="27" l="1"/>
  <c r="I28" i="27" s="1"/>
  <c r="K28" i="27" s="1"/>
  <c r="F77" i="27"/>
  <c r="F78" i="27" s="1"/>
  <c r="F79" i="27" s="1"/>
  <c r="E78" i="27"/>
  <c r="K29" i="27" l="1"/>
  <c r="F30" i="27"/>
  <c r="G30" i="27" s="1"/>
  <c r="I30" i="27" s="1"/>
  <c r="G77" i="27"/>
  <c r="I77" i="27" s="1"/>
  <c r="K77" i="27" s="1"/>
  <c r="E79" i="27"/>
  <c r="G78" i="27"/>
  <c r="I78" i="27" s="1"/>
  <c r="K78" i="27" s="1"/>
  <c r="F31" i="27" l="1"/>
  <c r="G31" i="27" s="1"/>
  <c r="I31" i="27" s="1"/>
  <c r="K31" i="27" s="1"/>
  <c r="K30" i="27"/>
  <c r="G79" i="27"/>
  <c r="I79" i="27" s="1"/>
  <c r="K79" i="27" s="1"/>
  <c r="E80" i="27"/>
  <c r="F32" i="27" l="1"/>
  <c r="G32" i="27" s="1"/>
  <c r="I32" i="27" s="1"/>
  <c r="E81" i="27"/>
  <c r="E82" i="27" s="1"/>
  <c r="F80" i="27"/>
  <c r="F81" i="27" s="1"/>
  <c r="F82" i="27" s="1"/>
  <c r="G80" i="27" l="1"/>
  <c r="I80" i="27" s="1"/>
  <c r="K80" i="27" s="1"/>
  <c r="G81" i="27"/>
  <c r="I81" i="27" s="1"/>
  <c r="K32" i="27"/>
  <c r="F33" i="27"/>
  <c r="K81" i="27" l="1"/>
  <c r="E83" i="27"/>
  <c r="G82" i="27"/>
  <c r="I82" i="27" s="1"/>
  <c r="K82" i="27" s="1"/>
  <c r="F34" i="27"/>
  <c r="G33" i="27"/>
  <c r="I33" i="27" s="1"/>
  <c r="K33" i="27" l="1"/>
  <c r="F83" i="27"/>
  <c r="F84" i="27" s="1"/>
  <c r="F85" i="27" s="1"/>
  <c r="E84" i="27"/>
  <c r="F35" i="27"/>
  <c r="G34" i="27"/>
  <c r="I34" i="27" s="1"/>
  <c r="K34" i="27" s="1"/>
  <c r="E85" i="27" l="1"/>
  <c r="G84" i="27"/>
  <c r="I84" i="27" s="1"/>
  <c r="G83" i="27"/>
  <c r="I83" i="27" s="1"/>
  <c r="K83" i="27" s="1"/>
  <c r="G35" i="27"/>
  <c r="I35" i="27" s="1"/>
  <c r="K84" i="27" l="1"/>
  <c r="G85" i="27"/>
  <c r="I85" i="27" s="1"/>
  <c r="K85" i="27" s="1"/>
  <c r="E88" i="27"/>
  <c r="K35" i="27"/>
  <c r="F88" i="27"/>
  <c r="F89" i="27" s="1"/>
  <c r="F90" i="27" s="1"/>
  <c r="F36" i="27"/>
  <c r="J89" i="27" l="1"/>
  <c r="J97" i="27"/>
  <c r="J90" i="27"/>
  <c r="J98" i="27"/>
  <c r="J95" i="27"/>
  <c r="J91" i="27"/>
  <c r="J99" i="27"/>
  <c r="J88" i="27"/>
  <c r="J93" i="27"/>
  <c r="J96" i="27"/>
  <c r="J92" i="27"/>
  <c r="J94" i="27"/>
  <c r="G88" i="27"/>
  <c r="I88" i="27" s="1"/>
  <c r="E89" i="27"/>
  <c r="E90" i="27" s="1"/>
  <c r="E91" i="27" s="1"/>
  <c r="E92" i="27" s="1"/>
  <c r="E93" i="27" s="1"/>
  <c r="E94" i="27" s="1"/>
  <c r="E95" i="27" s="1"/>
  <c r="E96" i="27" s="1"/>
  <c r="E97" i="27" s="1"/>
  <c r="E98" i="27" s="1"/>
  <c r="E99" i="27" s="1"/>
  <c r="F37" i="27"/>
  <c r="G36" i="27"/>
  <c r="I36" i="27" s="1"/>
  <c r="K88" i="27" l="1"/>
  <c r="K36" i="27"/>
  <c r="F38" i="27"/>
  <c r="G37" i="27"/>
  <c r="I37" i="27" s="1"/>
  <c r="K37" i="27" s="1"/>
  <c r="G38" i="27" l="1"/>
  <c r="I38" i="27" s="1"/>
  <c r="K38" i="27" l="1"/>
  <c r="J51" i="27" s="1"/>
  <c r="F41" i="27"/>
  <c r="F42" i="27" s="1"/>
  <c r="F43" i="27" s="1"/>
  <c r="J45" i="27" l="1"/>
  <c r="J52" i="27"/>
  <c r="J50" i="27"/>
  <c r="J48" i="27"/>
  <c r="J47" i="27"/>
  <c r="J44" i="27"/>
  <c r="J46" i="27"/>
  <c r="J49" i="27"/>
  <c r="J41" i="27"/>
  <c r="J42" i="27"/>
  <c r="J43" i="27"/>
  <c r="J101" i="27"/>
  <c r="G41" i="27"/>
  <c r="I41" i="27" s="1"/>
  <c r="J103" i="27" l="1"/>
  <c r="E14" i="49"/>
  <c r="E16" i="49" s="1"/>
  <c r="J54" i="27"/>
  <c r="I22" i="29" s="1"/>
  <c r="K41" i="27"/>
  <c r="G42" i="27" s="1"/>
  <c r="I42" i="27" s="1"/>
  <c r="K42" i="27" s="1"/>
  <c r="G43" i="27" s="1"/>
  <c r="J56" i="27" l="1"/>
  <c r="I43" i="27"/>
  <c r="K43" i="27" l="1"/>
  <c r="G44" i="27" s="1"/>
  <c r="F44" i="27"/>
  <c r="I44" i="27" l="1"/>
  <c r="F45" i="27"/>
  <c r="F46" i="27" s="1"/>
  <c r="K44" i="27" l="1"/>
  <c r="G45" i="27" s="1"/>
  <c r="I45" i="27" s="1"/>
  <c r="K45" i="27" l="1"/>
  <c r="G46" i="27" s="1"/>
  <c r="I46" i="27" s="1"/>
  <c r="K46" i="27" l="1"/>
  <c r="G47" i="27" s="1"/>
  <c r="I47" i="27" s="1"/>
  <c r="K47" i="27" s="1"/>
  <c r="F47" i="27"/>
  <c r="F48" i="27" s="1"/>
  <c r="F49" i="27" s="1"/>
  <c r="G48" i="27" l="1"/>
  <c r="I48" i="27" s="1"/>
  <c r="K48" i="27" l="1"/>
  <c r="G49" i="27" s="1"/>
  <c r="I49" i="27" s="1"/>
  <c r="K49" i="27" l="1"/>
  <c r="G50" i="27" s="1"/>
  <c r="I50" i="27" s="1"/>
  <c r="F50" i="27"/>
  <c r="F51" i="27" s="1"/>
  <c r="F52" i="27" s="1"/>
  <c r="K50" i="27" l="1"/>
  <c r="G51" i="27" s="1"/>
  <c r="I51" i="27" s="1"/>
  <c r="K51" i="27" l="1"/>
  <c r="G52" i="27" s="1"/>
  <c r="I52" i="27" s="1"/>
  <c r="K52" i="27" l="1"/>
  <c r="G89" i="27"/>
  <c r="I89" i="27" s="1"/>
  <c r="K89" i="27" l="1"/>
  <c r="G90" i="27" s="1"/>
  <c r="I90" i="27" s="1"/>
  <c r="K90" i="27" l="1"/>
  <c r="G91" i="27" s="1"/>
  <c r="I91" i="27" s="1"/>
  <c r="F91" i="27"/>
  <c r="F92" i="27" s="1"/>
  <c r="F93" i="27" s="1"/>
  <c r="K91" i="27" l="1"/>
  <c r="G92" i="27" s="1"/>
  <c r="I92" i="27" s="1"/>
  <c r="K92" i="27" l="1"/>
  <c r="G93" i="27" s="1"/>
  <c r="I93" i="27" s="1"/>
  <c r="F94" i="27" l="1"/>
  <c r="F95" i="27" s="1"/>
  <c r="F96" i="27" s="1"/>
  <c r="K93" i="27"/>
  <c r="G94" i="27" s="1"/>
  <c r="I94" i="27" s="1"/>
  <c r="K94" i="27" l="1"/>
  <c r="G95" i="27" s="1"/>
  <c r="I95" i="27" s="1"/>
  <c r="K95" i="27" l="1"/>
  <c r="G96" i="27" s="1"/>
  <c r="I96" i="27" s="1"/>
  <c r="K96" i="27" l="1"/>
  <c r="G97" i="27" s="1"/>
  <c r="I97" i="27" s="1"/>
  <c r="K97" i="27" s="1"/>
  <c r="F97" i="27"/>
  <c r="F98" i="27" s="1"/>
  <c r="F99" i="27" s="1"/>
  <c r="G98" i="27" l="1"/>
  <c r="I98" i="27" s="1"/>
  <c r="K98" i="27" l="1"/>
  <c r="G99" i="27" s="1"/>
  <c r="I99" i="27" s="1"/>
  <c r="K99" i="27" s="1"/>
  <c r="K7" i="26" l="1"/>
  <c r="A4" i="27" l="1"/>
  <c r="A1" i="27"/>
  <c r="Q13" i="26"/>
  <c r="Q14" i="26"/>
  <c r="Q15" i="26"/>
  <c r="Q16" i="26"/>
  <c r="Q17" i="26"/>
  <c r="Q18" i="26"/>
  <c r="Q19" i="26"/>
  <c r="Q20" i="26"/>
  <c r="F12" i="6"/>
  <c r="A24" i="26"/>
  <c r="P21" i="26"/>
  <c r="O21" i="26"/>
  <c r="E24" i="6" s="1"/>
  <c r="N21" i="26"/>
  <c r="E23" i="6" s="1"/>
  <c r="M21" i="26"/>
  <c r="E22" i="6" s="1"/>
  <c r="L21" i="26"/>
  <c r="E21" i="6" s="1"/>
  <c r="K21" i="26"/>
  <c r="E20" i="6" s="1"/>
  <c r="J21" i="26"/>
  <c r="E19" i="6" s="1"/>
  <c r="I21" i="26"/>
  <c r="E18" i="6" s="1"/>
  <c r="H21" i="26"/>
  <c r="E17" i="6" s="1"/>
  <c r="G21" i="26"/>
  <c r="E16" i="6" s="1"/>
  <c r="F21" i="26"/>
  <c r="E15" i="6" s="1"/>
  <c r="E21" i="26"/>
  <c r="E14" i="6" s="1"/>
  <c r="D21" i="26"/>
  <c r="Q12" i="26"/>
  <c r="P8" i="26"/>
  <c r="O8" i="26"/>
  <c r="N8" i="26"/>
  <c r="M8" i="26"/>
  <c r="L8" i="26"/>
  <c r="K8" i="26"/>
  <c r="J8" i="26"/>
  <c r="I8" i="26"/>
  <c r="H8" i="26"/>
  <c r="G8" i="26"/>
  <c r="F8" i="26"/>
  <c r="E8" i="26"/>
  <c r="D8" i="26"/>
  <c r="A7" i="26"/>
  <c r="A4" i="26"/>
  <c r="A2" i="26"/>
  <c r="A1" i="26"/>
  <c r="J103" i="24"/>
  <c r="B102" i="24"/>
  <c r="B101" i="24"/>
  <c r="B100" i="24"/>
  <c r="B99" i="24"/>
  <c r="B98" i="24"/>
  <c r="B97" i="24"/>
  <c r="B96" i="24"/>
  <c r="B95" i="24"/>
  <c r="B94" i="24"/>
  <c r="B93" i="24"/>
  <c r="B92" i="24"/>
  <c r="B91" i="24"/>
  <c r="C90" i="24"/>
  <c r="C102" i="24" s="1"/>
  <c r="D23" i="25"/>
  <c r="D25" i="25"/>
  <c r="B39" i="25"/>
  <c r="A46" i="25"/>
  <c r="O37" i="25"/>
  <c r="N37" i="25"/>
  <c r="M37" i="25"/>
  <c r="L37" i="25"/>
  <c r="K37" i="25"/>
  <c r="J37" i="25"/>
  <c r="I37" i="25"/>
  <c r="H37" i="25"/>
  <c r="G37" i="25"/>
  <c r="F37" i="25"/>
  <c r="E37" i="25"/>
  <c r="D37" i="25"/>
  <c r="C37" i="25"/>
  <c r="O35" i="25"/>
  <c r="C35" i="25"/>
  <c r="A35" i="25"/>
  <c r="O33" i="25"/>
  <c r="Q32" i="25"/>
  <c r="AD32" i="25" s="1"/>
  <c r="O25" i="25"/>
  <c r="C25" i="25"/>
  <c r="O23" i="25"/>
  <c r="C23" i="25"/>
  <c r="A23" i="25"/>
  <c r="O21" i="25"/>
  <c r="C21" i="25"/>
  <c r="Q20" i="25"/>
  <c r="Q19" i="25"/>
  <c r="Q17" i="25"/>
  <c r="AD9" i="25"/>
  <c r="AC9" i="25"/>
  <c r="AB9" i="25"/>
  <c r="AA9" i="25"/>
  <c r="Z9" i="25"/>
  <c r="Y9" i="25"/>
  <c r="X9" i="25"/>
  <c r="W9" i="25"/>
  <c r="V9" i="25"/>
  <c r="U9" i="25"/>
  <c r="T9" i="25"/>
  <c r="S9" i="25"/>
  <c r="R9" i="25"/>
  <c r="AD8" i="25"/>
  <c r="AC8" i="25"/>
  <c r="AB8" i="25"/>
  <c r="AA8" i="25"/>
  <c r="Z8" i="25"/>
  <c r="Y8" i="25"/>
  <c r="X8" i="25"/>
  <c r="W8" i="25"/>
  <c r="V8" i="25"/>
  <c r="U8" i="25"/>
  <c r="T8" i="25"/>
  <c r="S8" i="25"/>
  <c r="R8" i="25"/>
  <c r="O8" i="25"/>
  <c r="N8" i="25"/>
  <c r="M8" i="25"/>
  <c r="L8" i="25"/>
  <c r="K8" i="25"/>
  <c r="J8" i="25"/>
  <c r="I8" i="25"/>
  <c r="H8" i="25"/>
  <c r="G8" i="25"/>
  <c r="F8" i="25"/>
  <c r="E8" i="25"/>
  <c r="D8" i="25"/>
  <c r="C8" i="25"/>
  <c r="A7" i="25"/>
  <c r="A4" i="25"/>
  <c r="A2" i="25"/>
  <c r="A1" i="25"/>
  <c r="A142" i="24"/>
  <c r="J76" i="24"/>
  <c r="B75" i="24"/>
  <c r="B74" i="24"/>
  <c r="B73" i="24"/>
  <c r="B72" i="24"/>
  <c r="B71" i="24"/>
  <c r="B70" i="24"/>
  <c r="B69" i="24"/>
  <c r="B68" i="24"/>
  <c r="B67" i="24"/>
  <c r="B66" i="24"/>
  <c r="B65" i="24"/>
  <c r="B64" i="24"/>
  <c r="C63" i="24"/>
  <c r="C75" i="24" s="1"/>
  <c r="A7" i="24"/>
  <c r="J51" i="24"/>
  <c r="B50" i="24"/>
  <c r="B49" i="24"/>
  <c r="B48" i="24"/>
  <c r="B47" i="24"/>
  <c r="B46" i="24"/>
  <c r="B45" i="24"/>
  <c r="B44" i="24"/>
  <c r="B43" i="24"/>
  <c r="B42" i="24"/>
  <c r="B41" i="24"/>
  <c r="B40" i="24"/>
  <c r="B39" i="24"/>
  <c r="C38" i="24"/>
  <c r="C50" i="24" s="1"/>
  <c r="N9" i="24"/>
  <c r="B25" i="24"/>
  <c r="B24" i="24"/>
  <c r="B23" i="24"/>
  <c r="B22" i="24"/>
  <c r="B21" i="24"/>
  <c r="B20" i="24"/>
  <c r="B19" i="24"/>
  <c r="B18" i="24"/>
  <c r="B17" i="24"/>
  <c r="B16" i="24"/>
  <c r="B15" i="24"/>
  <c r="B14" i="24"/>
  <c r="J26" i="24"/>
  <c r="C13" i="24"/>
  <c r="C23" i="24" s="1"/>
  <c r="V8" i="22"/>
  <c r="U8" i="22"/>
  <c r="T8" i="22"/>
  <c r="S8" i="22"/>
  <c r="R8" i="22"/>
  <c r="Q8" i="22"/>
  <c r="P8" i="22"/>
  <c r="O8" i="22"/>
  <c r="N8" i="22"/>
  <c r="M8" i="22"/>
  <c r="L8" i="22"/>
  <c r="K8" i="22"/>
  <c r="J8" i="22"/>
  <c r="U8" i="20"/>
  <c r="T8" i="20"/>
  <c r="S8" i="20"/>
  <c r="R8" i="20"/>
  <c r="Q8" i="20"/>
  <c r="P8" i="20"/>
  <c r="O8" i="20"/>
  <c r="N8" i="20"/>
  <c r="M8" i="20"/>
  <c r="L8" i="20"/>
  <c r="K8" i="20"/>
  <c r="J8" i="20"/>
  <c r="I8" i="20"/>
  <c r="A4" i="19"/>
  <c r="A4" i="18"/>
  <c r="A4" i="17"/>
  <c r="A4" i="15"/>
  <c r="A4" i="13"/>
  <c r="A4" i="24"/>
  <c r="AD8" i="13"/>
  <c r="AC8" i="13"/>
  <c r="AB8" i="13"/>
  <c r="AA8" i="13"/>
  <c r="Z8" i="13"/>
  <c r="Y8" i="13"/>
  <c r="X8" i="13"/>
  <c r="W8" i="13"/>
  <c r="V8" i="13"/>
  <c r="U8" i="13"/>
  <c r="T8" i="13"/>
  <c r="S8" i="13"/>
  <c r="R8" i="13"/>
  <c r="O8" i="13"/>
  <c r="N8" i="13"/>
  <c r="M8" i="13"/>
  <c r="L8" i="13"/>
  <c r="K8" i="13"/>
  <c r="J8" i="13"/>
  <c r="I8" i="13"/>
  <c r="H8" i="13"/>
  <c r="G8" i="13"/>
  <c r="F8" i="13"/>
  <c r="E8" i="13"/>
  <c r="D8" i="13"/>
  <c r="C8" i="13"/>
  <c r="A4" i="12"/>
  <c r="R8" i="12"/>
  <c r="Q8" i="12"/>
  <c r="P8" i="12"/>
  <c r="O8" i="12"/>
  <c r="N8" i="12"/>
  <c r="M8" i="12"/>
  <c r="L8" i="12"/>
  <c r="K8" i="12"/>
  <c r="J8" i="12"/>
  <c r="I8" i="12"/>
  <c r="H8" i="12"/>
  <c r="G8" i="12"/>
  <c r="F8" i="12"/>
  <c r="A4" i="11"/>
  <c r="Z8" i="11"/>
  <c r="Y8" i="11"/>
  <c r="X8" i="11"/>
  <c r="W8" i="11"/>
  <c r="V8" i="11"/>
  <c r="U8" i="11"/>
  <c r="T8" i="11"/>
  <c r="S8" i="11"/>
  <c r="R8" i="11"/>
  <c r="Q8" i="11"/>
  <c r="P8" i="11"/>
  <c r="O8" i="11"/>
  <c r="N8" i="11"/>
  <c r="A4" i="10"/>
  <c r="S8" i="10"/>
  <c r="R8" i="10"/>
  <c r="Q8" i="10"/>
  <c r="P8" i="10"/>
  <c r="O8" i="10"/>
  <c r="N8" i="10"/>
  <c r="M8" i="10"/>
  <c r="L8" i="10"/>
  <c r="K8" i="10"/>
  <c r="J8" i="10"/>
  <c r="I8" i="10"/>
  <c r="H8" i="10"/>
  <c r="G8" i="10"/>
  <c r="A4" i="9"/>
  <c r="Q8" i="9"/>
  <c r="P8" i="9"/>
  <c r="O8" i="9"/>
  <c r="N8" i="9"/>
  <c r="M8" i="9"/>
  <c r="L8" i="9"/>
  <c r="K8" i="9"/>
  <c r="J8" i="9"/>
  <c r="I8" i="9"/>
  <c r="H8" i="9"/>
  <c r="G8" i="9"/>
  <c r="F8" i="9"/>
  <c r="E8" i="9"/>
  <c r="AA8" i="8"/>
  <c r="Z8" i="8"/>
  <c r="Y8" i="8"/>
  <c r="X8" i="8"/>
  <c r="W8" i="8"/>
  <c r="V8" i="8"/>
  <c r="U8" i="8"/>
  <c r="T8" i="8"/>
  <c r="S8" i="8"/>
  <c r="R8" i="8"/>
  <c r="Q8" i="8"/>
  <c r="P8" i="8"/>
  <c r="O8" i="8"/>
  <c r="A4" i="8"/>
  <c r="A4" i="7"/>
  <c r="A4" i="6"/>
  <c r="A4" i="5"/>
  <c r="A4" i="3"/>
  <c r="A4" i="1"/>
  <c r="A4" i="20"/>
  <c r="A4" i="22"/>
  <c r="A4" i="4"/>
  <c r="A4" i="2"/>
  <c r="A14" i="24"/>
  <c r="A15" i="24" s="1"/>
  <c r="A16" i="24" s="1"/>
  <c r="A17" i="24" s="1"/>
  <c r="A18" i="24" s="1"/>
  <c r="A19" i="24" s="1"/>
  <c r="A20" i="24" s="1"/>
  <c r="A21" i="24" s="1"/>
  <c r="A22" i="24" s="1"/>
  <c r="A23" i="24" s="1"/>
  <c r="A24" i="24" s="1"/>
  <c r="A25" i="24" s="1"/>
  <c r="A2" i="24"/>
  <c r="A1" i="24"/>
  <c r="O43" i="25" l="1"/>
  <c r="D43" i="25"/>
  <c r="C43" i="25"/>
  <c r="A26" i="24"/>
  <c r="B33" i="24"/>
  <c r="B26" i="24"/>
  <c r="C39" i="24"/>
  <c r="D39" i="24" s="1"/>
  <c r="B90" i="24"/>
  <c r="A37" i="25"/>
  <c r="B115" i="24"/>
  <c r="O41" i="25"/>
  <c r="C39" i="25"/>
  <c r="C41" i="25"/>
  <c r="F13" i="6" a="1"/>
  <c r="F13" i="6" s="1"/>
  <c r="Q21" i="26"/>
  <c r="C93" i="24"/>
  <c r="C95" i="24"/>
  <c r="C97" i="24"/>
  <c r="C99" i="24"/>
  <c r="C101" i="24"/>
  <c r="C17" i="24"/>
  <c r="C91" i="24"/>
  <c r="D91" i="24" s="1"/>
  <c r="C18" i="24"/>
  <c r="C92" i="24"/>
  <c r="C94" i="24"/>
  <c r="C96" i="24"/>
  <c r="C98" i="24"/>
  <c r="C100" i="24"/>
  <c r="C25" i="24"/>
  <c r="E35" i="25"/>
  <c r="E33" i="25"/>
  <c r="D33" i="25"/>
  <c r="D35" i="25"/>
  <c r="D41" i="25" s="1"/>
  <c r="E23" i="25"/>
  <c r="D21" i="25"/>
  <c r="E21" i="25"/>
  <c r="Y20" i="25"/>
  <c r="F25" i="25"/>
  <c r="F43" i="25" s="1"/>
  <c r="E25" i="25"/>
  <c r="E43" i="25" s="1"/>
  <c r="O39" i="25"/>
  <c r="U17" i="25"/>
  <c r="V17" i="25"/>
  <c r="R20" i="25"/>
  <c r="Z20" i="25"/>
  <c r="AD17" i="25"/>
  <c r="AA20" i="25"/>
  <c r="AD20" i="25"/>
  <c r="S20" i="25"/>
  <c r="R17" i="25"/>
  <c r="U20" i="25"/>
  <c r="AB32" i="25"/>
  <c r="S17" i="25"/>
  <c r="W17" i="25" s="1"/>
  <c r="V20" i="25"/>
  <c r="T17" i="25"/>
  <c r="AD19" i="25"/>
  <c r="V19" i="25"/>
  <c r="Y19" i="25"/>
  <c r="AB19" i="25"/>
  <c r="S19" i="25"/>
  <c r="AC19" i="25"/>
  <c r="R19" i="25"/>
  <c r="X20" i="25"/>
  <c r="AC20" i="25"/>
  <c r="T20" i="25"/>
  <c r="W20" i="25"/>
  <c r="AB20" i="25"/>
  <c r="AA32" i="25"/>
  <c r="U19" i="25"/>
  <c r="W32" i="25"/>
  <c r="Z32" i="25"/>
  <c r="R32" i="25"/>
  <c r="AE32" i="25" s="1"/>
  <c r="AC32" i="25"/>
  <c r="S32" i="25"/>
  <c r="V32" i="25"/>
  <c r="W19" i="25"/>
  <c r="X19" i="25"/>
  <c r="T32" i="25"/>
  <c r="Z19" i="25"/>
  <c r="U32" i="25"/>
  <c r="AA19" i="25"/>
  <c r="X32" i="25"/>
  <c r="T19" i="25"/>
  <c r="Y32" i="25"/>
  <c r="A25" i="25"/>
  <c r="C66" i="24"/>
  <c r="C68" i="24"/>
  <c r="C70" i="24"/>
  <c r="C72" i="24"/>
  <c r="C74" i="24"/>
  <c r="C64" i="24"/>
  <c r="D64" i="24" s="1"/>
  <c r="C65" i="24"/>
  <c r="C67" i="24"/>
  <c r="C69" i="24"/>
  <c r="C71" i="24"/>
  <c r="C73" i="24"/>
  <c r="C41" i="24"/>
  <c r="C43" i="24"/>
  <c r="C45" i="24"/>
  <c r="C47" i="24"/>
  <c r="C49" i="24"/>
  <c r="D50" i="24" s="1"/>
  <c r="E49" i="24" s="1"/>
  <c r="C40" i="24"/>
  <c r="D40" i="24" s="1"/>
  <c r="C42" i="24"/>
  <c r="C44" i="24"/>
  <c r="C46" i="24"/>
  <c r="C48" i="24"/>
  <c r="C16" i="24"/>
  <c r="C24" i="24"/>
  <c r="D24" i="24" s="1"/>
  <c r="C19" i="24"/>
  <c r="C20" i="24"/>
  <c r="C21" i="24"/>
  <c r="C14" i="24"/>
  <c r="D14" i="24" s="1"/>
  <c r="C22" i="24"/>
  <c r="C15" i="24"/>
  <c r="D100" i="24" l="1"/>
  <c r="D66" i="24"/>
  <c r="A29" i="24"/>
  <c r="D65" i="24"/>
  <c r="D98" i="24"/>
  <c r="D69" i="24"/>
  <c r="B107" i="24"/>
  <c r="B106" i="24"/>
  <c r="A39" i="25"/>
  <c r="B132" i="24"/>
  <c r="B131" i="24"/>
  <c r="D47" i="24"/>
  <c r="E39" i="25"/>
  <c r="D20" i="24"/>
  <c r="D16" i="24"/>
  <c r="D95" i="24"/>
  <c r="D93" i="24"/>
  <c r="D44" i="24"/>
  <c r="D18" i="24"/>
  <c r="D21" i="24"/>
  <c r="D42" i="24"/>
  <c r="F14" i="6"/>
  <c r="F22" i="6"/>
  <c r="F21" i="6"/>
  <c r="F15" i="6"/>
  <c r="F17" i="6"/>
  <c r="F16" i="6"/>
  <c r="F23" i="6"/>
  <c r="F24" i="6"/>
  <c r="F25" i="6"/>
  <c r="F19" i="6"/>
  <c r="F18" i="6"/>
  <c r="F20" i="6"/>
  <c r="AE19" i="25"/>
  <c r="AE20" i="25"/>
  <c r="E41" i="25"/>
  <c r="X17" i="25"/>
  <c r="Y17" i="25"/>
  <c r="AE17" i="25"/>
  <c r="AE25" i="25" s="1"/>
  <c r="D71" i="24"/>
  <c r="D101" i="24"/>
  <c r="D19" i="24"/>
  <c r="D99" i="24"/>
  <c r="D96" i="24"/>
  <c r="D15" i="24"/>
  <c r="D94" i="24"/>
  <c r="D97" i="24"/>
  <c r="D73" i="24"/>
  <c r="D46" i="24"/>
  <c r="D92" i="24"/>
  <c r="D102" i="24"/>
  <c r="E101" i="24" s="1"/>
  <c r="D39" i="25"/>
  <c r="F35" i="25"/>
  <c r="F33" i="25"/>
  <c r="I23" i="25"/>
  <c r="F21" i="25"/>
  <c r="H23" i="25"/>
  <c r="G23" i="25"/>
  <c r="F23" i="25"/>
  <c r="G25" i="25"/>
  <c r="G43" i="25" s="1"/>
  <c r="G21" i="25"/>
  <c r="D74" i="24"/>
  <c r="D72" i="24"/>
  <c r="D70" i="24"/>
  <c r="D67" i="24"/>
  <c r="D68" i="24"/>
  <c r="D75" i="24"/>
  <c r="E74" i="24" s="1"/>
  <c r="D45" i="24"/>
  <c r="D43" i="24"/>
  <c r="D48" i="24"/>
  <c r="D41" i="24"/>
  <c r="D49" i="24"/>
  <c r="E48" i="24" s="1"/>
  <c r="D25" i="24"/>
  <c r="E24" i="24" s="1"/>
  <c r="D22" i="24"/>
  <c r="D17" i="24"/>
  <c r="D23" i="24"/>
  <c r="A30" i="24" l="1"/>
  <c r="A31" i="24" s="1"/>
  <c r="C131" i="1"/>
  <c r="A41" i="25"/>
  <c r="F39" i="24"/>
  <c r="F122" i="24"/>
  <c r="G122" i="24" s="1"/>
  <c r="E73" i="24"/>
  <c r="E72" i="24" s="1"/>
  <c r="F121" i="24"/>
  <c r="G121" i="24" s="1"/>
  <c r="F123" i="24"/>
  <c r="F14" i="24"/>
  <c r="F125" i="24"/>
  <c r="F118" i="24"/>
  <c r="F116" i="24"/>
  <c r="F120" i="24"/>
  <c r="F91" i="24"/>
  <c r="F127" i="24"/>
  <c r="F102" i="24"/>
  <c r="G102" i="24" s="1"/>
  <c r="F117" i="24"/>
  <c r="F124" i="24"/>
  <c r="F23" i="24"/>
  <c r="F119" i="24"/>
  <c r="F126" i="24"/>
  <c r="F42" i="24"/>
  <c r="F43" i="24"/>
  <c r="F97" i="24"/>
  <c r="F18" i="24"/>
  <c r="F99" i="24"/>
  <c r="F16" i="24"/>
  <c r="F19" i="24"/>
  <c r="F74" i="24"/>
  <c r="G74" i="24" s="1"/>
  <c r="F98" i="24"/>
  <c r="F41" i="25"/>
  <c r="F39" i="25"/>
  <c r="F70" i="24"/>
  <c r="F96" i="24"/>
  <c r="F67" i="24"/>
  <c r="F95" i="24"/>
  <c r="F71" i="24"/>
  <c r="F46" i="24"/>
  <c r="F47" i="24"/>
  <c r="F101" i="24"/>
  <c r="F22" i="24"/>
  <c r="E100" i="24"/>
  <c r="F41" i="24"/>
  <c r="F100" i="24"/>
  <c r="F50" i="24"/>
  <c r="G50" i="24" s="1"/>
  <c r="F65" i="24"/>
  <c r="F49" i="24"/>
  <c r="G49" i="24" s="1"/>
  <c r="F40" i="24"/>
  <c r="F45" i="24"/>
  <c r="F64" i="24"/>
  <c r="F69" i="24"/>
  <c r="F92" i="24"/>
  <c r="F48" i="24"/>
  <c r="G48" i="24" s="1"/>
  <c r="F75" i="24"/>
  <c r="G75" i="24" s="1"/>
  <c r="F68" i="24"/>
  <c r="F73" i="24"/>
  <c r="F44" i="24"/>
  <c r="F24" i="24"/>
  <c r="G24" i="24" s="1"/>
  <c r="F21" i="24"/>
  <c r="F66" i="24"/>
  <c r="F94" i="24"/>
  <c r="F72" i="24"/>
  <c r="F93" i="24"/>
  <c r="G33" i="25"/>
  <c r="G39" i="25" s="1"/>
  <c r="G35" i="25"/>
  <c r="G41" i="25" s="1"/>
  <c r="H21" i="25"/>
  <c r="H25" i="25"/>
  <c r="H43" i="25" s="1"/>
  <c r="E47" i="24"/>
  <c r="F25" i="24"/>
  <c r="G25" i="24" s="1"/>
  <c r="F20" i="24"/>
  <c r="F15" i="24"/>
  <c r="F17" i="24"/>
  <c r="E23" i="24"/>
  <c r="D79" i="13"/>
  <c r="E79" i="13"/>
  <c r="F79" i="13"/>
  <c r="G79" i="13"/>
  <c r="H79" i="13"/>
  <c r="I79" i="13"/>
  <c r="J79" i="13"/>
  <c r="K79" i="13"/>
  <c r="L79" i="13"/>
  <c r="M79" i="13"/>
  <c r="N79" i="13"/>
  <c r="O79" i="13"/>
  <c r="D81" i="13"/>
  <c r="E81" i="13"/>
  <c r="F81" i="13"/>
  <c r="G81" i="13"/>
  <c r="H81" i="13"/>
  <c r="I81" i="13"/>
  <c r="J81" i="13"/>
  <c r="K81" i="13"/>
  <c r="L81" i="13"/>
  <c r="M81" i="13"/>
  <c r="N81" i="13"/>
  <c r="O81" i="13"/>
  <c r="C81" i="13"/>
  <c r="C59" i="13"/>
  <c r="C79" i="13"/>
  <c r="A81" i="13"/>
  <c r="A79" i="13"/>
  <c r="B63" i="24" s="1"/>
  <c r="D59" i="13"/>
  <c r="E59" i="13"/>
  <c r="F59" i="13"/>
  <c r="G59" i="13"/>
  <c r="H59" i="13"/>
  <c r="I59" i="13"/>
  <c r="J59" i="13"/>
  <c r="K59" i="13"/>
  <c r="L59" i="13"/>
  <c r="M59" i="13"/>
  <c r="N59" i="13"/>
  <c r="O59" i="13"/>
  <c r="D61" i="13"/>
  <c r="E61" i="13"/>
  <c r="F61" i="13"/>
  <c r="G61" i="13"/>
  <c r="H61" i="13"/>
  <c r="I61" i="13"/>
  <c r="J61" i="13"/>
  <c r="K61" i="13"/>
  <c r="L61" i="13"/>
  <c r="M61" i="13"/>
  <c r="N61" i="13"/>
  <c r="O61" i="13"/>
  <c r="C61" i="13"/>
  <c r="A59" i="13"/>
  <c r="D42" i="13"/>
  <c r="E42" i="13"/>
  <c r="F42" i="13"/>
  <c r="G42" i="13"/>
  <c r="H42" i="13"/>
  <c r="I42" i="13"/>
  <c r="J42" i="13"/>
  <c r="K42" i="13"/>
  <c r="L42" i="13"/>
  <c r="M42" i="13"/>
  <c r="N42" i="13"/>
  <c r="O42" i="13"/>
  <c r="D44" i="13"/>
  <c r="E44" i="13"/>
  <c r="F44" i="13"/>
  <c r="G44" i="13"/>
  <c r="H44" i="13"/>
  <c r="I44" i="13"/>
  <c r="J44" i="13"/>
  <c r="K44" i="13"/>
  <c r="L44" i="13"/>
  <c r="M44" i="13"/>
  <c r="N44" i="13"/>
  <c r="O44" i="13"/>
  <c r="C44" i="13"/>
  <c r="C42" i="13"/>
  <c r="A44" i="13"/>
  <c r="A42" i="13"/>
  <c r="AD9" i="13"/>
  <c r="AC9" i="13"/>
  <c r="AB9" i="13"/>
  <c r="AA9" i="13"/>
  <c r="Z9" i="13"/>
  <c r="Y9" i="13"/>
  <c r="X9" i="13"/>
  <c r="W9" i="13"/>
  <c r="V9" i="13"/>
  <c r="U9" i="13"/>
  <c r="T9" i="13"/>
  <c r="S9" i="13"/>
  <c r="R9" i="13"/>
  <c r="D77" i="13"/>
  <c r="E77" i="13"/>
  <c r="F77" i="13"/>
  <c r="G77" i="13"/>
  <c r="H77" i="13"/>
  <c r="I77" i="13"/>
  <c r="J77" i="13"/>
  <c r="K77" i="13"/>
  <c r="L77" i="13"/>
  <c r="M77" i="13"/>
  <c r="N77" i="13"/>
  <c r="O77" i="13"/>
  <c r="D57" i="13"/>
  <c r="E57" i="13"/>
  <c r="F57" i="13"/>
  <c r="G57" i="13"/>
  <c r="H57" i="13"/>
  <c r="I57" i="13"/>
  <c r="J57" i="13"/>
  <c r="K57" i="13"/>
  <c r="L57" i="13"/>
  <c r="M57" i="13"/>
  <c r="N57" i="13"/>
  <c r="O57" i="13"/>
  <c r="D40" i="13"/>
  <c r="E40" i="13"/>
  <c r="F40" i="13"/>
  <c r="G40" i="13"/>
  <c r="H40" i="13"/>
  <c r="H83" i="13" s="1"/>
  <c r="I40" i="13"/>
  <c r="J40" i="13"/>
  <c r="K40" i="13"/>
  <c r="L40" i="13"/>
  <c r="M40" i="13"/>
  <c r="N40" i="13"/>
  <c r="O40" i="13"/>
  <c r="C40" i="13"/>
  <c r="B79" i="24" l="1"/>
  <c r="B80" i="24"/>
  <c r="B13" i="33"/>
  <c r="B13" i="24"/>
  <c r="B145" i="24"/>
  <c r="M83" i="13"/>
  <c r="A83" i="13"/>
  <c r="B30" i="24"/>
  <c r="B29" i="24"/>
  <c r="A61" i="13"/>
  <c r="B91" i="13" s="1"/>
  <c r="B38" i="24"/>
  <c r="A33" i="24"/>
  <c r="A35" i="24" s="1"/>
  <c r="A38" i="24" s="1"/>
  <c r="B35" i="24"/>
  <c r="G73" i="24"/>
  <c r="B31" i="24"/>
  <c r="A43" i="25"/>
  <c r="B48" i="25" s="1"/>
  <c r="G72" i="24"/>
  <c r="G120" i="24"/>
  <c r="G124" i="24"/>
  <c r="G116" i="24"/>
  <c r="G117" i="24"/>
  <c r="G118" i="24"/>
  <c r="G125" i="24"/>
  <c r="G127" i="24"/>
  <c r="G123" i="24"/>
  <c r="G126" i="24"/>
  <c r="G119" i="24"/>
  <c r="J23" i="25"/>
  <c r="Z17" i="25"/>
  <c r="G101" i="24"/>
  <c r="G100" i="24"/>
  <c r="E99" i="24"/>
  <c r="H33" i="25"/>
  <c r="H35" i="25"/>
  <c r="H41" i="25" s="1"/>
  <c r="H39" i="25"/>
  <c r="I21" i="25"/>
  <c r="I25" i="25"/>
  <c r="I43" i="25" s="1"/>
  <c r="E71" i="24"/>
  <c r="G47" i="24"/>
  <c r="E46" i="24"/>
  <c r="E22" i="24"/>
  <c r="G23" i="24"/>
  <c r="I83" i="13"/>
  <c r="O83" i="13"/>
  <c r="G83" i="13"/>
  <c r="K83" i="13"/>
  <c r="N83" i="13"/>
  <c r="F83" i="13"/>
  <c r="J83" i="13"/>
  <c r="E83" i="13"/>
  <c r="L83" i="13"/>
  <c r="D83" i="13"/>
  <c r="A39" i="24" l="1"/>
  <c r="A40" i="24" s="1"/>
  <c r="A41" i="24" s="1"/>
  <c r="A42" i="24" s="1"/>
  <c r="A43" i="24" s="1"/>
  <c r="A44" i="24" s="1"/>
  <c r="A45" i="24" s="1"/>
  <c r="A46" i="24" s="1"/>
  <c r="A47" i="24" s="1"/>
  <c r="A48" i="24" s="1"/>
  <c r="A49" i="24" s="1"/>
  <c r="A50" i="24" s="1"/>
  <c r="B51" i="24" s="1"/>
  <c r="B55" i="24"/>
  <c r="B54" i="24"/>
  <c r="K23" i="25"/>
  <c r="AA17" i="25"/>
  <c r="G99" i="24"/>
  <c r="E98" i="24"/>
  <c r="I35" i="25"/>
  <c r="I41" i="25" s="1"/>
  <c r="I33" i="25"/>
  <c r="I39" i="25" s="1"/>
  <c r="J25" i="25"/>
  <c r="J43" i="25" s="1"/>
  <c r="J21" i="25"/>
  <c r="G71" i="24"/>
  <c r="E70" i="24"/>
  <c r="G46" i="24"/>
  <c r="E45" i="24"/>
  <c r="E21" i="24"/>
  <c r="G22" i="24"/>
  <c r="A51" i="24" l="1"/>
  <c r="B58" i="24"/>
  <c r="L23" i="25"/>
  <c r="AB17" i="25"/>
  <c r="AC17" i="25"/>
  <c r="G98" i="24"/>
  <c r="E97" i="24"/>
  <c r="J33" i="25"/>
  <c r="J39" i="25" s="1"/>
  <c r="J35" i="25"/>
  <c r="J41" i="25" s="1"/>
  <c r="K25" i="25"/>
  <c r="K43" i="25" s="1"/>
  <c r="K21" i="25"/>
  <c r="G70" i="24"/>
  <c r="E69" i="24"/>
  <c r="G45" i="24"/>
  <c r="E44" i="24"/>
  <c r="E20" i="24"/>
  <c r="G21" i="24"/>
  <c r="A54" i="24" l="1"/>
  <c r="M23" i="25"/>
  <c r="G97" i="24"/>
  <c r="E96" i="24"/>
  <c r="K33" i="25"/>
  <c r="K39" i="25" s="1"/>
  <c r="K35" i="25"/>
  <c r="K41" i="25" s="1"/>
  <c r="L25" i="25"/>
  <c r="L43" i="25" s="1"/>
  <c r="L21" i="25"/>
  <c r="G69" i="24"/>
  <c r="E68" i="24"/>
  <c r="G44" i="24"/>
  <c r="E43" i="24"/>
  <c r="E19" i="24"/>
  <c r="G20" i="24"/>
  <c r="A55" i="24" l="1"/>
  <c r="A56" i="24" s="1"/>
  <c r="B56" i="24"/>
  <c r="N23" i="25"/>
  <c r="G96" i="24"/>
  <c r="E95" i="24"/>
  <c r="L35" i="25"/>
  <c r="L41" i="25" s="1"/>
  <c r="L33" i="25"/>
  <c r="L39" i="25" s="1"/>
  <c r="M25" i="25"/>
  <c r="M43" i="25" s="1"/>
  <c r="M21" i="25"/>
  <c r="G68" i="24"/>
  <c r="E67" i="24"/>
  <c r="G43" i="24"/>
  <c r="E42" i="24"/>
  <c r="E18" i="24"/>
  <c r="G19" i="24"/>
  <c r="A58" i="24" l="1"/>
  <c r="A60" i="24" s="1"/>
  <c r="A63" i="24" s="1"/>
  <c r="B60" i="24"/>
  <c r="G95" i="24"/>
  <c r="E94" i="24"/>
  <c r="M35" i="25"/>
  <c r="M41" i="25" s="1"/>
  <c r="M33" i="25"/>
  <c r="M39" i="25" s="1"/>
  <c r="N25" i="25"/>
  <c r="N43" i="25" s="1"/>
  <c r="N21" i="25"/>
  <c r="G67" i="24"/>
  <c r="E66" i="24"/>
  <c r="G42" i="24"/>
  <c r="E41" i="24"/>
  <c r="E17" i="24"/>
  <c r="G18" i="24"/>
  <c r="A64" i="24" l="1"/>
  <c r="A65" i="24" s="1"/>
  <c r="A66" i="24" s="1"/>
  <c r="A67" i="24" s="1"/>
  <c r="A68" i="24" s="1"/>
  <c r="A69" i="24" s="1"/>
  <c r="A70" i="24" s="1"/>
  <c r="A71" i="24" s="1"/>
  <c r="A72" i="24" s="1"/>
  <c r="A73" i="24" s="1"/>
  <c r="A74" i="24" s="1"/>
  <c r="A75" i="24" s="1"/>
  <c r="B76" i="24" s="1"/>
  <c r="G94" i="24"/>
  <c r="E93" i="24"/>
  <c r="N35" i="25"/>
  <c r="N41" i="25" s="1"/>
  <c r="N33" i="25"/>
  <c r="N39" i="25" s="1"/>
  <c r="G66" i="24"/>
  <c r="E65" i="24"/>
  <c r="G41" i="24"/>
  <c r="E40" i="24"/>
  <c r="E16" i="24"/>
  <c r="G17" i="24"/>
  <c r="A76" i="24" l="1"/>
  <c r="B83" i="24"/>
  <c r="G93" i="24"/>
  <c r="E92" i="24"/>
  <c r="G65" i="24"/>
  <c r="E64" i="24"/>
  <c r="G40" i="24"/>
  <c r="E39" i="24"/>
  <c r="E15" i="24"/>
  <c r="G16" i="24"/>
  <c r="A79" i="24" l="1"/>
  <c r="B87" i="24"/>
  <c r="G92" i="24"/>
  <c r="E91" i="24"/>
  <c r="G64" i="24"/>
  <c r="G39" i="24"/>
  <c r="E14" i="24"/>
  <c r="G14" i="24" s="1"/>
  <c r="G15" i="24"/>
  <c r="A80" i="24" l="1"/>
  <c r="A81" i="24" s="1"/>
  <c r="B81" i="24"/>
  <c r="G91" i="24"/>
  <c r="A83" i="24" l="1"/>
  <c r="A85" i="24" s="1"/>
  <c r="A87" i="24" s="1"/>
  <c r="AK13" i="22"/>
  <c r="AK14" i="22"/>
  <c r="AK15" i="22"/>
  <c r="AK16" i="22"/>
  <c r="AK17" i="22"/>
  <c r="AK18" i="22"/>
  <c r="AK12" i="22"/>
  <c r="AK19" i="22" s="1"/>
  <c r="AJ12" i="22"/>
  <c r="AK9" i="22"/>
  <c r="AJ9" i="22"/>
  <c r="B19" i="22"/>
  <c r="B23" i="22"/>
  <c r="B23" i="20"/>
  <c r="B19" i="20"/>
  <c r="B39" i="12"/>
  <c r="A7" i="17"/>
  <c r="C61" i="1" l="1"/>
  <c r="A90" i="24"/>
  <c r="B85" i="24"/>
  <c r="B36" i="19"/>
  <c r="B22" i="19"/>
  <c r="B26" i="19"/>
  <c r="A91" i="24" l="1"/>
  <c r="A92" i="24" s="1"/>
  <c r="A93" i="24" s="1"/>
  <c r="A94" i="24" s="1"/>
  <c r="A95" i="24" s="1"/>
  <c r="A96" i="24" s="1"/>
  <c r="A97" i="24" s="1"/>
  <c r="A98" i="24" s="1"/>
  <c r="A99" i="24" s="1"/>
  <c r="A100" i="24" s="1"/>
  <c r="A101" i="24" s="1"/>
  <c r="A102" i="24" s="1"/>
  <c r="B103" i="24" s="1"/>
  <c r="E20" i="19"/>
  <c r="B34" i="17"/>
  <c r="A46" i="4"/>
  <c r="F36" i="4"/>
  <c r="D42" i="17"/>
  <c r="D43" i="17"/>
  <c r="D44" i="17"/>
  <c r="D45" i="17"/>
  <c r="D46" i="17"/>
  <c r="D41" i="17"/>
  <c r="B42" i="17"/>
  <c r="B43" i="17"/>
  <c r="B44" i="17"/>
  <c r="B45" i="17"/>
  <c r="B46" i="17"/>
  <c r="B41" i="17"/>
  <c r="H25" i="17"/>
  <c r="H13" i="17"/>
  <c r="F25" i="17"/>
  <c r="A103" i="24" l="1"/>
  <c r="A106" i="24" s="1"/>
  <c r="B110" i="24"/>
  <c r="D47" i="17"/>
  <c r="A107" i="24" l="1"/>
  <c r="A108" i="24" s="1"/>
  <c r="B108" i="24"/>
  <c r="F13" i="17"/>
  <c r="E25" i="17"/>
  <c r="E13" i="17"/>
  <c r="D25" i="17"/>
  <c r="D13" i="17"/>
  <c r="C13" i="17"/>
  <c r="C25" i="17"/>
  <c r="G12" i="18"/>
  <c r="G13" i="18"/>
  <c r="G14" i="18"/>
  <c r="G15" i="18"/>
  <c r="G16" i="18"/>
  <c r="G17" i="18"/>
  <c r="G18" i="18"/>
  <c r="G19" i="18"/>
  <c r="G20" i="18"/>
  <c r="G21" i="18"/>
  <c r="G22" i="18"/>
  <c r="G23" i="18"/>
  <c r="F23" i="18"/>
  <c r="F13" i="18"/>
  <c r="F14" i="18"/>
  <c r="F15" i="18"/>
  <c r="F16" i="18"/>
  <c r="F17" i="18"/>
  <c r="F18" i="18"/>
  <c r="F19" i="18"/>
  <c r="F20" i="18"/>
  <c r="F21" i="18"/>
  <c r="F22" i="18"/>
  <c r="F12" i="18"/>
  <c r="E13" i="18"/>
  <c r="E14" i="18"/>
  <c r="E15" i="18"/>
  <c r="E16" i="18"/>
  <c r="E17" i="18"/>
  <c r="E18" i="18"/>
  <c r="E19" i="18"/>
  <c r="E20" i="18"/>
  <c r="E21" i="18"/>
  <c r="E22" i="18"/>
  <c r="E23" i="18"/>
  <c r="E12" i="18"/>
  <c r="D13" i="18"/>
  <c r="D14" i="18"/>
  <c r="D15" i="18"/>
  <c r="D16" i="18"/>
  <c r="D17" i="18"/>
  <c r="D18" i="18"/>
  <c r="D19" i="18"/>
  <c r="D20" i="18"/>
  <c r="D21" i="18"/>
  <c r="D22" i="18"/>
  <c r="D23" i="18"/>
  <c r="D12" i="18"/>
  <c r="A12" i="18"/>
  <c r="C13" i="18"/>
  <c r="C14" i="18"/>
  <c r="C15" i="18"/>
  <c r="C16" i="18"/>
  <c r="C17" i="18"/>
  <c r="C18" i="18"/>
  <c r="C19" i="18"/>
  <c r="C20" i="18"/>
  <c r="C21" i="18"/>
  <c r="C22" i="18"/>
  <c r="C23" i="18"/>
  <c r="C12" i="18"/>
  <c r="B83" i="13"/>
  <c r="B77" i="13"/>
  <c r="B57" i="13"/>
  <c r="B40" i="13"/>
  <c r="B87" i="13"/>
  <c r="B23" i="11"/>
  <c r="B23" i="10"/>
  <c r="B23" i="9"/>
  <c r="B27" i="8"/>
  <c r="G13" i="6"/>
  <c r="E13" i="6" s="1"/>
  <c r="G15" i="6"/>
  <c r="C25" i="6"/>
  <c r="C13" i="6"/>
  <c r="A14" i="5"/>
  <c r="A15" i="5" s="1"/>
  <c r="J9" i="3"/>
  <c r="J26" i="3"/>
  <c r="A110" i="24" l="1"/>
  <c r="A112" i="24" s="1"/>
  <c r="B112" i="24"/>
  <c r="I13" i="18"/>
  <c r="J13" i="18" s="1"/>
  <c r="C13" i="30" s="1"/>
  <c r="C26" i="17"/>
  <c r="G13" i="17"/>
  <c r="I13" i="17" s="1"/>
  <c r="A115" i="24" l="1"/>
  <c r="B35" i="12"/>
  <c r="W7" i="11"/>
  <c r="B37" i="8"/>
  <c r="B31" i="11"/>
  <c r="B27" i="11"/>
  <c r="B19" i="11"/>
  <c r="M1" i="10"/>
  <c r="T1" i="10"/>
  <c r="B19" i="9"/>
  <c r="B19" i="10"/>
  <c r="N7" i="10"/>
  <c r="A116" i="24" l="1"/>
  <c r="A117" i="24" s="1"/>
  <c r="A118" i="24" s="1"/>
  <c r="A119" i="24" s="1"/>
  <c r="A120" i="24" s="1"/>
  <c r="A121" i="24" s="1"/>
  <c r="A122" i="24" s="1"/>
  <c r="A123" i="24" s="1"/>
  <c r="A124" i="24" s="1"/>
  <c r="A125" i="24" s="1"/>
  <c r="A126" i="24" s="1"/>
  <c r="A127" i="24" s="1"/>
  <c r="B128" i="24" s="1"/>
  <c r="B25" i="10"/>
  <c r="B33" i="8"/>
  <c r="B135" i="24" l="1"/>
  <c r="A128" i="24"/>
  <c r="A131" i="24" s="1"/>
  <c r="L7" i="9"/>
  <c r="B38" i="5"/>
  <c r="K1" i="9"/>
  <c r="R1" i="9"/>
  <c r="G1" i="8"/>
  <c r="N1" i="8"/>
  <c r="U1" i="8"/>
  <c r="AB1" i="8"/>
  <c r="B19" i="8"/>
  <c r="V7" i="8"/>
  <c r="F21" i="8"/>
  <c r="A132" i="24" l="1"/>
  <c r="A133" i="24" s="1"/>
  <c r="B133" i="24"/>
  <c r="J21" i="3"/>
  <c r="F25" i="7"/>
  <c r="F13" i="7"/>
  <c r="A13" i="7"/>
  <c r="A12" i="7"/>
  <c r="B30" i="7" s="1"/>
  <c r="D25" i="7"/>
  <c r="D13" i="7"/>
  <c r="C25" i="7"/>
  <c r="C13" i="7"/>
  <c r="I43" i="6"/>
  <c r="H42" i="6"/>
  <c r="H30" i="6"/>
  <c r="H13" i="6"/>
  <c r="G42" i="6"/>
  <c r="E42" i="6" s="1"/>
  <c r="G30" i="6"/>
  <c r="E30" i="6" s="1"/>
  <c r="D42" i="6"/>
  <c r="D30" i="6"/>
  <c r="D13" i="6"/>
  <c r="C42" i="6"/>
  <c r="C30" i="6"/>
  <c r="I25" i="6"/>
  <c r="I13" i="6"/>
  <c r="H25" i="6"/>
  <c r="G25" i="6"/>
  <c r="F11" i="31" s="1"/>
  <c r="D25" i="6"/>
  <c r="A12" i="6"/>
  <c r="A13" i="17"/>
  <c r="A13" i="6" l="1"/>
  <c r="A135" i="24"/>
  <c r="A137" i="24" s="1"/>
  <c r="F12" i="31"/>
  <c r="F13" i="31" s="1"/>
  <c r="F14" i="31" s="1"/>
  <c r="F15" i="31" s="1"/>
  <c r="F16" i="31" s="1"/>
  <c r="F17" i="31" s="1"/>
  <c r="F18" i="31" s="1"/>
  <c r="F19" i="31" s="1"/>
  <c r="F20" i="31" s="1"/>
  <c r="F21" i="31" s="1"/>
  <c r="F22" i="31" s="1"/>
  <c r="F23" i="31" s="1"/>
  <c r="E13" i="7"/>
  <c r="J13" i="6"/>
  <c r="E25" i="6"/>
  <c r="G11" i="31" s="1"/>
  <c r="G12" i="31" s="1"/>
  <c r="G13" i="31" s="1"/>
  <c r="G14" i="31" s="1"/>
  <c r="G15" i="31" s="1"/>
  <c r="G16" i="31" s="1"/>
  <c r="G17" i="31" s="1"/>
  <c r="G18" i="31" s="1"/>
  <c r="G19" i="31" s="1"/>
  <c r="G20" i="31" s="1"/>
  <c r="G21" i="31" s="1"/>
  <c r="G22" i="31" s="1"/>
  <c r="G23" i="31" s="1"/>
  <c r="AI19" i="22"/>
  <c r="AH19" i="22"/>
  <c r="AG19" i="22"/>
  <c r="AF19" i="22"/>
  <c r="AE19" i="22"/>
  <c r="AD19" i="22"/>
  <c r="AC19" i="22"/>
  <c r="AB19" i="22"/>
  <c r="AA19" i="22"/>
  <c r="Z19" i="22"/>
  <c r="Y19" i="22"/>
  <c r="X19" i="22"/>
  <c r="W19" i="22"/>
  <c r="A22" i="22"/>
  <c r="V19" i="22"/>
  <c r="U19" i="22"/>
  <c r="T19" i="22"/>
  <c r="S19" i="22"/>
  <c r="R19" i="22"/>
  <c r="Q19" i="22"/>
  <c r="P19" i="22"/>
  <c r="O19" i="22"/>
  <c r="N19" i="22"/>
  <c r="M19" i="22"/>
  <c r="L19" i="22"/>
  <c r="K19" i="22"/>
  <c r="J19" i="22"/>
  <c r="AJ18" i="22"/>
  <c r="I18" i="22"/>
  <c r="AJ17" i="22"/>
  <c r="I17" i="22"/>
  <c r="AJ16" i="22"/>
  <c r="I16" i="22"/>
  <c r="AJ15" i="22"/>
  <c r="I15" i="22"/>
  <c r="AJ14" i="22"/>
  <c r="I14" i="22"/>
  <c r="AJ13" i="22"/>
  <c r="AJ19" i="22" s="1"/>
  <c r="I13" i="22"/>
  <c r="I12" i="22"/>
  <c r="A7" i="22"/>
  <c r="A2" i="22"/>
  <c r="A1" i="22"/>
  <c r="A139" i="24" l="1"/>
  <c r="C62" i="1" s="1"/>
  <c r="B139" i="24"/>
  <c r="B137" i="24"/>
  <c r="F24" i="31"/>
  <c r="F25" i="31" s="1"/>
  <c r="F26" i="31" s="1"/>
  <c r="F27" i="31" s="1"/>
  <c r="F28" i="31" s="1"/>
  <c r="F29" i="31" s="1"/>
  <c r="F30" i="31" s="1"/>
  <c r="F31" i="31" s="1"/>
  <c r="F32" i="31" s="1"/>
  <c r="F33" i="31" s="1"/>
  <c r="F34" i="31" s="1"/>
  <c r="F35" i="31" s="1"/>
  <c r="G24" i="31"/>
  <c r="G25" i="31" s="1"/>
  <c r="G26" i="31" s="1"/>
  <c r="G27" i="31" s="1"/>
  <c r="G28" i="31" s="1"/>
  <c r="G29" i="31" s="1"/>
  <c r="G30" i="31" s="1"/>
  <c r="G31" i="31" s="1"/>
  <c r="G32" i="31" s="1"/>
  <c r="G33" i="31" s="1"/>
  <c r="G34" i="31" s="1"/>
  <c r="G35" i="31" s="1"/>
  <c r="AL12" i="22"/>
  <c r="AM12" i="22"/>
  <c r="AM17" i="22"/>
  <c r="AL17" i="22"/>
  <c r="AL18" i="22"/>
  <c r="AM18" i="22"/>
  <c r="AL16" i="22"/>
  <c r="AM16" i="22"/>
  <c r="AM14" i="22"/>
  <c r="AL14" i="22"/>
  <c r="AL15" i="22"/>
  <c r="AM15" i="22"/>
  <c r="AL13" i="22"/>
  <c r="AM13" i="22"/>
  <c r="D90" i="1"/>
  <c r="D19" i="40" s="1"/>
  <c r="D22" i="5"/>
  <c r="D93" i="1" s="1"/>
  <c r="C67" i="1"/>
  <c r="C98" i="1"/>
  <c r="A22" i="20"/>
  <c r="U19" i="20"/>
  <c r="T19" i="20"/>
  <c r="S19" i="20"/>
  <c r="R19" i="20"/>
  <c r="Q19" i="20"/>
  <c r="P19" i="20"/>
  <c r="O19" i="20"/>
  <c r="N19" i="20"/>
  <c r="M19" i="20"/>
  <c r="L19" i="20"/>
  <c r="K19" i="20"/>
  <c r="J19" i="20"/>
  <c r="I19" i="20"/>
  <c r="E19" i="20"/>
  <c r="D98" i="1" s="1"/>
  <c r="D100" i="29" s="1"/>
  <c r="V18" i="20"/>
  <c r="G18" i="20"/>
  <c r="H18" i="20" s="1"/>
  <c r="V17" i="20"/>
  <c r="G17" i="20"/>
  <c r="H17" i="20" s="1"/>
  <c r="V16" i="20"/>
  <c r="G16" i="20"/>
  <c r="H16" i="20" s="1"/>
  <c r="V15" i="20"/>
  <c r="G15" i="20"/>
  <c r="W15" i="20" s="1"/>
  <c r="V14" i="20"/>
  <c r="G14" i="20"/>
  <c r="H14" i="20" s="1"/>
  <c r="V13" i="20"/>
  <c r="G13" i="20"/>
  <c r="H13" i="20" s="1"/>
  <c r="V12" i="20"/>
  <c r="G12" i="20"/>
  <c r="W12" i="20" s="1"/>
  <c r="A7" i="20"/>
  <c r="A2" i="20"/>
  <c r="A1" i="20"/>
  <c r="A26" i="19"/>
  <c r="E21" i="19"/>
  <c r="F21" i="19" s="1"/>
  <c r="F20" i="19"/>
  <c r="A35" i="19"/>
  <c r="C22" i="19"/>
  <c r="C26" i="19" s="1"/>
  <c r="B7" i="19"/>
  <c r="A7" i="19"/>
  <c r="A2" i="19"/>
  <c r="A1" i="19"/>
  <c r="F39" i="31" l="1"/>
  <c r="D41" i="29" s="1"/>
  <c r="F30" i="44" s="1"/>
  <c r="G39" i="31"/>
  <c r="F29" i="44" s="1"/>
  <c r="AN17" i="22"/>
  <c r="AN14" i="22"/>
  <c r="AN18" i="22"/>
  <c r="AN16" i="22"/>
  <c r="AN15" i="22"/>
  <c r="AM19" i="22"/>
  <c r="AN13" i="22"/>
  <c r="AL19" i="22"/>
  <c r="AN12" i="22"/>
  <c r="A27" i="19"/>
  <c r="A28" i="19" s="1"/>
  <c r="B28" i="19"/>
  <c r="H15" i="20"/>
  <c r="W18" i="20"/>
  <c r="W14" i="20"/>
  <c r="H12" i="20"/>
  <c r="W17" i="20"/>
  <c r="W13" i="20"/>
  <c r="W16" i="20"/>
  <c r="V19" i="20"/>
  <c r="D67" i="1" s="1"/>
  <c r="D69" i="29" s="1"/>
  <c r="D24" i="18"/>
  <c r="E24" i="18"/>
  <c r="F24" i="18"/>
  <c r="G24" i="18"/>
  <c r="H24" i="18"/>
  <c r="C24" i="18"/>
  <c r="I14" i="18"/>
  <c r="J14" i="18" s="1"/>
  <c r="C14" i="30" s="1"/>
  <c r="I15" i="18"/>
  <c r="J15" i="18" s="1"/>
  <c r="C15" i="30" s="1"/>
  <c r="I16" i="18"/>
  <c r="J16" i="18" s="1"/>
  <c r="C16" i="30" s="1"/>
  <c r="I17" i="18"/>
  <c r="J17" i="18" s="1"/>
  <c r="C17" i="30" s="1"/>
  <c r="I18" i="18"/>
  <c r="J18" i="18" s="1"/>
  <c r="C18" i="30" s="1"/>
  <c r="I19" i="18"/>
  <c r="J19" i="18" s="1"/>
  <c r="C19" i="30" s="1"/>
  <c r="I20" i="18"/>
  <c r="J20" i="18" s="1"/>
  <c r="C20" i="30" s="1"/>
  <c r="I21" i="18"/>
  <c r="J21" i="18" s="1"/>
  <c r="C21" i="30" s="1"/>
  <c r="I22" i="18"/>
  <c r="J22" i="18" s="1"/>
  <c r="C22" i="30" s="1"/>
  <c r="I23" i="18"/>
  <c r="J23" i="18" s="1"/>
  <c r="C23" i="30" s="1"/>
  <c r="I12" i="18"/>
  <c r="J12" i="18" s="1"/>
  <c r="C12" i="30" s="1"/>
  <c r="A7" i="18"/>
  <c r="A13" i="18"/>
  <c r="A14" i="18" s="1"/>
  <c r="A15" i="18" s="1"/>
  <c r="A16" i="18" s="1"/>
  <c r="A17" i="18" s="1"/>
  <c r="A18" i="18" s="1"/>
  <c r="A19" i="18" s="1"/>
  <c r="A20" i="18" s="1"/>
  <c r="A21" i="18" s="1"/>
  <c r="A22" i="18" s="1"/>
  <c r="A23" i="18" s="1"/>
  <c r="A24" i="18" s="1"/>
  <c r="A2" i="18"/>
  <c r="A1" i="18"/>
  <c r="A146" i="1"/>
  <c r="G14" i="17"/>
  <c r="I14" i="17" s="1"/>
  <c r="G15" i="17"/>
  <c r="I15" i="17" s="1"/>
  <c r="G16" i="17"/>
  <c r="I16" i="17" s="1"/>
  <c r="G17" i="17"/>
  <c r="I17" i="17" s="1"/>
  <c r="G18" i="17"/>
  <c r="I18" i="17" s="1"/>
  <c r="G19" i="17"/>
  <c r="I19" i="17" s="1"/>
  <c r="G20" i="17"/>
  <c r="I20" i="17" s="1"/>
  <c r="G21" i="17"/>
  <c r="I21" i="17" s="1"/>
  <c r="G22" i="17"/>
  <c r="I22" i="17" s="1"/>
  <c r="G23" i="17"/>
  <c r="I23" i="17" s="1"/>
  <c r="G24" i="17"/>
  <c r="I24" i="17" s="1"/>
  <c r="G25" i="17"/>
  <c r="I25" i="17" s="1"/>
  <c r="H26" i="17"/>
  <c r="A33" i="17"/>
  <c r="F26" i="17"/>
  <c r="E26" i="17"/>
  <c r="D26" i="17"/>
  <c r="A14" i="17"/>
  <c r="A15" i="17" s="1"/>
  <c r="A16" i="17" s="1"/>
  <c r="A17" i="17" s="1"/>
  <c r="A18" i="17" s="1"/>
  <c r="A19" i="17" s="1"/>
  <c r="A20" i="17" s="1"/>
  <c r="A21" i="17" s="1"/>
  <c r="A22" i="17" s="1"/>
  <c r="A23" i="17" s="1"/>
  <c r="A24" i="17" s="1"/>
  <c r="A25" i="17" s="1"/>
  <c r="A2" i="17"/>
  <c r="A1" i="17"/>
  <c r="D19" i="30" l="1"/>
  <c r="E19" i="30" s="1"/>
  <c r="D20" i="30"/>
  <c r="E20" i="30" s="1"/>
  <c r="D17" i="30"/>
  <c r="E17" i="30" s="1"/>
  <c r="D18" i="30"/>
  <c r="E18" i="30" s="1"/>
  <c r="D12" i="30"/>
  <c r="E12" i="30" s="1"/>
  <c r="C24" i="30"/>
  <c r="D13" i="30"/>
  <c r="E13" i="30" s="1"/>
  <c r="D16" i="30"/>
  <c r="E16" i="30" s="1"/>
  <c r="D23" i="30"/>
  <c r="E23" i="30" s="1"/>
  <c r="D15" i="30"/>
  <c r="E15" i="30" s="1"/>
  <c r="H29" i="17"/>
  <c r="D22" i="30"/>
  <c r="E22" i="30" s="1"/>
  <c r="D14" i="30"/>
  <c r="E14" i="30" s="1"/>
  <c r="D21" i="30"/>
  <c r="E21" i="30" s="1"/>
  <c r="AN19" i="22"/>
  <c r="A30" i="19"/>
  <c r="A32" i="19" s="1"/>
  <c r="C132" i="1" s="1"/>
  <c r="A26" i="17"/>
  <c r="A28" i="17" s="1"/>
  <c r="B26" i="17"/>
  <c r="A26" i="18"/>
  <c r="B26" i="18"/>
  <c r="W19" i="20"/>
  <c r="H19" i="20"/>
  <c r="J24" i="18"/>
  <c r="I24" i="18"/>
  <c r="G26" i="17"/>
  <c r="G28" i="17" s="1"/>
  <c r="B29" i="43" l="1"/>
  <c r="B29" i="22"/>
  <c r="E12" i="43"/>
  <c r="F12" i="43" s="1"/>
  <c r="AO12" i="43" s="1"/>
  <c r="E17" i="43"/>
  <c r="F17" i="43" s="1"/>
  <c r="AO17" i="43" s="1"/>
  <c r="AQ17" i="43" s="1"/>
  <c r="AR17" i="43" s="1"/>
  <c r="E14" i="43"/>
  <c r="F14" i="43" s="1"/>
  <c r="AO14" i="43" s="1"/>
  <c r="AQ14" i="43" s="1"/>
  <c r="AR14" i="43" s="1"/>
  <c r="E16" i="43"/>
  <c r="F16" i="43" s="1"/>
  <c r="AO16" i="43" s="1"/>
  <c r="AQ16" i="43" s="1"/>
  <c r="AR16" i="43" s="1"/>
  <c r="E13" i="43"/>
  <c r="F13" i="43" s="1"/>
  <c r="AO13" i="43" s="1"/>
  <c r="AQ13" i="43" s="1"/>
  <c r="AR13" i="43" s="1"/>
  <c r="E18" i="43"/>
  <c r="F18" i="43" s="1"/>
  <c r="AO18" i="43" s="1"/>
  <c r="AQ18" i="43" s="1"/>
  <c r="AR18" i="43" s="1"/>
  <c r="E15" i="43"/>
  <c r="F15" i="43" s="1"/>
  <c r="AO15" i="43" s="1"/>
  <c r="AQ15" i="43" s="1"/>
  <c r="AR15" i="43" s="1"/>
  <c r="B32" i="19"/>
  <c r="E24" i="30"/>
  <c r="E26" i="30" s="1"/>
  <c r="E27" i="30" s="1"/>
  <c r="H28" i="17"/>
  <c r="H30" i="17" s="1"/>
  <c r="I67" i="1"/>
  <c r="I69" i="29" s="1"/>
  <c r="I98" i="1"/>
  <c r="I100" i="29" s="1"/>
  <c r="G30" i="17"/>
  <c r="I26" i="17"/>
  <c r="A29" i="17"/>
  <c r="A30" i="17" s="1"/>
  <c r="C119" i="1" s="1"/>
  <c r="B30" i="17"/>
  <c r="E16" i="22"/>
  <c r="F16" i="22" s="1"/>
  <c r="AO16" i="22" s="1"/>
  <c r="E17" i="22"/>
  <c r="F17" i="22" s="1"/>
  <c r="AO17" i="22" s="1"/>
  <c r="E18" i="22"/>
  <c r="F18" i="22" s="1"/>
  <c r="AO18" i="22" s="1"/>
  <c r="E13" i="22"/>
  <c r="F13" i="22" s="1"/>
  <c r="AO13" i="22" s="1"/>
  <c r="E12" i="22"/>
  <c r="F12" i="22" s="1"/>
  <c r="AO12" i="22" s="1"/>
  <c r="E15" i="22"/>
  <c r="F15" i="22" s="1"/>
  <c r="AO15" i="22" s="1"/>
  <c r="E14" i="22"/>
  <c r="F14" i="22" s="1"/>
  <c r="AO14" i="22" s="1"/>
  <c r="J26" i="18"/>
  <c r="J27" i="18" s="1"/>
  <c r="A27" i="18"/>
  <c r="B27" i="18"/>
  <c r="C24" i="1" l="1"/>
  <c r="D18" i="49"/>
  <c r="D24" i="28"/>
  <c r="I26" i="29"/>
  <c r="E18" i="49"/>
  <c r="E21" i="49" s="1"/>
  <c r="AO19" i="43"/>
  <c r="AQ12" i="43"/>
  <c r="AQ19" i="43" s="1"/>
  <c r="I24" i="1"/>
  <c r="E24" i="28"/>
  <c r="E27" i="28" s="1"/>
  <c r="AO19" i="22"/>
  <c r="I30" i="17"/>
  <c r="C120" i="1"/>
  <c r="I28" i="17"/>
  <c r="D119" i="1"/>
  <c r="D121" i="29" s="1"/>
  <c r="I119" i="1"/>
  <c r="I121" i="29" s="1"/>
  <c r="D120" i="1"/>
  <c r="D122" i="29" s="1"/>
  <c r="I120" i="1"/>
  <c r="I122" i="29" s="1"/>
  <c r="E23" i="49" l="1"/>
  <c r="E22" i="49"/>
  <c r="E28" i="28"/>
  <c r="E29" i="28"/>
  <c r="AR12" i="43"/>
  <c r="AR19" i="43" s="1"/>
  <c r="I142" i="29" s="1"/>
  <c r="I123" i="29"/>
  <c r="D123" i="29"/>
  <c r="I121" i="1"/>
  <c r="D121" i="1"/>
  <c r="E31" i="28" l="1"/>
  <c r="E33" i="28" s="1"/>
  <c r="E30" i="28"/>
  <c r="E32" i="28" s="1"/>
  <c r="E25" i="49"/>
  <c r="E24" i="49"/>
  <c r="G114" i="1"/>
  <c r="C115" i="1"/>
  <c r="C114" i="1"/>
  <c r="C113" i="1"/>
  <c r="C112" i="1"/>
  <c r="C111" i="1"/>
  <c r="B39" i="15"/>
  <c r="B33" i="15"/>
  <c r="B25" i="15"/>
  <c r="B19" i="15"/>
  <c r="E19" i="15"/>
  <c r="E25" i="15"/>
  <c r="E33" i="15"/>
  <c r="D113" i="1" s="1"/>
  <c r="D42" i="40" s="1"/>
  <c r="E42" i="40" s="1"/>
  <c r="E39" i="15"/>
  <c r="A49" i="15"/>
  <c r="B7" i="15"/>
  <c r="A7" i="15"/>
  <c r="A52" i="15"/>
  <c r="A2" i="15"/>
  <c r="A1" i="15"/>
  <c r="E26" i="49" l="1"/>
  <c r="E27" i="49"/>
  <c r="D114" i="1"/>
  <c r="D29" i="40" s="1"/>
  <c r="D111" i="1"/>
  <c r="D27" i="40" s="1"/>
  <c r="E49" i="15"/>
  <c r="D112" i="1"/>
  <c r="D28" i="40" s="1"/>
  <c r="C28" i="19"/>
  <c r="C32" i="19" s="1"/>
  <c r="D132" i="1" s="1"/>
  <c r="D134" i="29" s="1"/>
  <c r="D139" i="29" s="1"/>
  <c r="D115" i="1"/>
  <c r="D30" i="40" s="1"/>
  <c r="AP15" i="22" l="1"/>
  <c r="AQ15" i="22" s="1"/>
  <c r="AR15" i="22" s="1"/>
  <c r="AP17" i="22"/>
  <c r="AQ17" i="22" s="1"/>
  <c r="AR17" i="22" s="1"/>
  <c r="AP16" i="22"/>
  <c r="AQ16" i="22" s="1"/>
  <c r="AR16" i="22" s="1"/>
  <c r="AP18" i="22"/>
  <c r="AQ18" i="22" s="1"/>
  <c r="AR18" i="22" s="1"/>
  <c r="AP12" i="22"/>
  <c r="AQ12" i="22" s="1"/>
  <c r="AP13" i="22"/>
  <c r="AQ13" i="22" s="1"/>
  <c r="AR13" i="22" s="1"/>
  <c r="AP14" i="22"/>
  <c r="AQ14" i="22" s="1"/>
  <c r="AR14" i="22" s="1"/>
  <c r="D137" i="1"/>
  <c r="AQ19" i="22" l="1"/>
  <c r="AR12" i="22"/>
  <c r="AR19" i="22" s="1"/>
  <c r="A86" i="13"/>
  <c r="C77" i="13"/>
  <c r="Q76" i="13"/>
  <c r="Q75" i="13"/>
  <c r="Q74" i="13"/>
  <c r="Q73" i="13"/>
  <c r="Q72" i="13"/>
  <c r="Q71" i="13"/>
  <c r="Q70" i="13"/>
  <c r="Q69" i="13"/>
  <c r="Q68" i="13"/>
  <c r="Q67" i="13"/>
  <c r="Q65" i="13"/>
  <c r="Q64" i="13"/>
  <c r="Q55" i="13"/>
  <c r="C57" i="13"/>
  <c r="C83" i="13" s="1"/>
  <c r="Q56" i="13"/>
  <c r="Q52" i="13"/>
  <c r="Q49" i="13"/>
  <c r="Q48" i="13"/>
  <c r="Q47" i="13"/>
  <c r="I140" i="1" l="1"/>
  <c r="AC64" i="13"/>
  <c r="U64" i="13"/>
  <c r="AB64" i="13"/>
  <c r="T64" i="13"/>
  <c r="AA64" i="13"/>
  <c r="S64" i="13"/>
  <c r="Z64" i="13"/>
  <c r="R64" i="13"/>
  <c r="Y64" i="13"/>
  <c r="X64" i="13"/>
  <c r="AD64" i="13"/>
  <c r="V64" i="13"/>
  <c r="W64" i="13"/>
  <c r="X73" i="13"/>
  <c r="W73" i="13"/>
  <c r="AD73" i="13"/>
  <c r="V73" i="13"/>
  <c r="AC73" i="13"/>
  <c r="U73" i="13"/>
  <c r="AB73" i="13"/>
  <c r="T73" i="13"/>
  <c r="AA73" i="13"/>
  <c r="S73" i="13"/>
  <c r="Y73" i="13"/>
  <c r="Z73" i="13"/>
  <c r="R73" i="13"/>
  <c r="Z47" i="13"/>
  <c r="S47" i="13"/>
  <c r="AA47" i="13"/>
  <c r="T47" i="13"/>
  <c r="AB47" i="13"/>
  <c r="U47" i="13"/>
  <c r="AC47" i="13"/>
  <c r="V47" i="13"/>
  <c r="AD47" i="13"/>
  <c r="W47" i="13"/>
  <c r="R47" i="13"/>
  <c r="Y47" i="13"/>
  <c r="X47" i="13"/>
  <c r="X65" i="13"/>
  <c r="W65" i="13"/>
  <c r="AD65" i="13"/>
  <c r="V65" i="13"/>
  <c r="AC65" i="13"/>
  <c r="U65" i="13"/>
  <c r="AB65" i="13"/>
  <c r="T65" i="13"/>
  <c r="AA65" i="13"/>
  <c r="S65" i="13"/>
  <c r="Y65" i="13"/>
  <c r="Z65" i="13"/>
  <c r="R65" i="13"/>
  <c r="AA74" i="13"/>
  <c r="S74" i="13"/>
  <c r="Z74" i="13"/>
  <c r="R74" i="13"/>
  <c r="Y74" i="13"/>
  <c r="X74" i="13"/>
  <c r="W74" i="13"/>
  <c r="AD74" i="13"/>
  <c r="V74" i="13"/>
  <c r="AB74" i="13"/>
  <c r="T74" i="13"/>
  <c r="U74" i="13"/>
  <c r="AC74" i="13"/>
  <c r="AD67" i="13"/>
  <c r="V67" i="13"/>
  <c r="AC67" i="13"/>
  <c r="U67" i="13"/>
  <c r="AB67" i="13"/>
  <c r="T67" i="13"/>
  <c r="AA67" i="13"/>
  <c r="S67" i="13"/>
  <c r="Z67" i="13"/>
  <c r="R67" i="13"/>
  <c r="Y67" i="13"/>
  <c r="W67" i="13"/>
  <c r="X67" i="13"/>
  <c r="AD75" i="13"/>
  <c r="V75" i="13"/>
  <c r="AC75" i="13"/>
  <c r="U75" i="13"/>
  <c r="AB75" i="13"/>
  <c r="T75" i="13"/>
  <c r="AA75" i="13"/>
  <c r="S75" i="13"/>
  <c r="Z75" i="13"/>
  <c r="R75" i="13"/>
  <c r="Y75" i="13"/>
  <c r="W75" i="13"/>
  <c r="X75" i="13"/>
  <c r="Y68" i="13"/>
  <c r="X68" i="13"/>
  <c r="W68" i="13"/>
  <c r="AD68" i="13"/>
  <c r="V68" i="13"/>
  <c r="AC68" i="13"/>
  <c r="U68" i="13"/>
  <c r="AB68" i="13"/>
  <c r="T68" i="13"/>
  <c r="Z68" i="13"/>
  <c r="R68" i="13"/>
  <c r="AA68" i="13"/>
  <c r="S68" i="13"/>
  <c r="Y76" i="13"/>
  <c r="X76" i="13"/>
  <c r="W76" i="13"/>
  <c r="AD76" i="13"/>
  <c r="V76" i="13"/>
  <c r="AC76" i="13"/>
  <c r="U76" i="13"/>
  <c r="AB76" i="13"/>
  <c r="T76" i="13"/>
  <c r="Z76" i="13"/>
  <c r="R76" i="13"/>
  <c r="S76" i="13"/>
  <c r="AA76" i="13"/>
  <c r="Y49" i="13"/>
  <c r="R49" i="13"/>
  <c r="Z49" i="13"/>
  <c r="S49" i="13"/>
  <c r="AA49" i="13"/>
  <c r="T49" i="13"/>
  <c r="AB49" i="13"/>
  <c r="U49" i="13"/>
  <c r="AC49" i="13"/>
  <c r="V49" i="13"/>
  <c r="AD49" i="13"/>
  <c r="X49" i="13"/>
  <c r="W49" i="13"/>
  <c r="R52" i="13"/>
  <c r="Z52" i="13"/>
  <c r="S52" i="13"/>
  <c r="AA52" i="13"/>
  <c r="T52" i="13"/>
  <c r="AB52" i="13"/>
  <c r="U52" i="13"/>
  <c r="AC52" i="13"/>
  <c r="V52" i="13"/>
  <c r="AD52" i="13"/>
  <c r="W52" i="13"/>
  <c r="Y52" i="13"/>
  <c r="X52" i="13"/>
  <c r="AB69" i="13"/>
  <c r="T69" i="13"/>
  <c r="AA69" i="13"/>
  <c r="S69" i="13"/>
  <c r="Z69" i="13"/>
  <c r="R69" i="13"/>
  <c r="Y69" i="13"/>
  <c r="X69" i="13"/>
  <c r="W69" i="13"/>
  <c r="AC69" i="13"/>
  <c r="U69" i="13"/>
  <c r="V69" i="13"/>
  <c r="AD69" i="13"/>
  <c r="V48" i="13"/>
  <c r="AD48" i="13"/>
  <c r="W48" i="13"/>
  <c r="X48" i="13"/>
  <c r="Y48" i="13"/>
  <c r="R48" i="13"/>
  <c r="Z48" i="13"/>
  <c r="S48" i="13"/>
  <c r="AA48" i="13"/>
  <c r="U48" i="13"/>
  <c r="AC48" i="13"/>
  <c r="T48" i="13"/>
  <c r="AB48" i="13"/>
  <c r="W70" i="13"/>
  <c r="AD70" i="13"/>
  <c r="V70" i="13"/>
  <c r="AC70" i="13"/>
  <c r="U70" i="13"/>
  <c r="AB70" i="13"/>
  <c r="T70" i="13"/>
  <c r="AA70" i="13"/>
  <c r="S70" i="13"/>
  <c r="Z70" i="13"/>
  <c r="R70" i="13"/>
  <c r="X70" i="13"/>
  <c r="Y70" i="13"/>
  <c r="V56" i="13"/>
  <c r="AD56" i="13"/>
  <c r="W56" i="13"/>
  <c r="X56" i="13"/>
  <c r="Y56" i="13"/>
  <c r="R56" i="13"/>
  <c r="Z56" i="13"/>
  <c r="S56" i="13"/>
  <c r="AA56" i="13"/>
  <c r="U56" i="13"/>
  <c r="AC56" i="13"/>
  <c r="T56" i="13"/>
  <c r="AB56" i="13"/>
  <c r="Z71" i="13"/>
  <c r="R71" i="13"/>
  <c r="Y71" i="13"/>
  <c r="X71" i="13"/>
  <c r="W71" i="13"/>
  <c r="AD71" i="13"/>
  <c r="V71" i="13"/>
  <c r="AC71" i="13"/>
  <c r="U71" i="13"/>
  <c r="AA71" i="13"/>
  <c r="S71" i="13"/>
  <c r="T71" i="13"/>
  <c r="AB71" i="13"/>
  <c r="S55" i="13"/>
  <c r="AA55" i="13"/>
  <c r="T55" i="13"/>
  <c r="AB55" i="13"/>
  <c r="U55" i="13"/>
  <c r="AC55" i="13"/>
  <c r="V55" i="13"/>
  <c r="AD55" i="13"/>
  <c r="W55" i="13"/>
  <c r="X55" i="13"/>
  <c r="R55" i="13"/>
  <c r="Z55" i="13"/>
  <c r="Y55" i="13"/>
  <c r="AC72" i="13"/>
  <c r="U72" i="13"/>
  <c r="AB72" i="13"/>
  <c r="T72" i="13"/>
  <c r="AA72" i="13"/>
  <c r="S72" i="13"/>
  <c r="Z72" i="13"/>
  <c r="R72" i="13"/>
  <c r="Y72" i="13"/>
  <c r="X72" i="13"/>
  <c r="AD72" i="13"/>
  <c r="V72" i="13"/>
  <c r="W72" i="13"/>
  <c r="D136" i="1"/>
  <c r="U61" i="13" l="1"/>
  <c r="X61" i="13"/>
  <c r="AB61" i="13"/>
  <c r="Y61" i="13"/>
  <c r="T61" i="13"/>
  <c r="R61" i="13"/>
  <c r="AA61" i="13"/>
  <c r="W61" i="13"/>
  <c r="S61" i="13"/>
  <c r="AD61" i="13"/>
  <c r="Z61" i="13"/>
  <c r="V61" i="13"/>
  <c r="AC61" i="13"/>
  <c r="R54" i="24" l="1"/>
  <c r="L56" i="33"/>
  <c r="R55" i="24"/>
  <c r="Q36" i="13"/>
  <c r="Q39" i="13"/>
  <c r="Q38" i="13"/>
  <c r="Q37" i="13"/>
  <c r="Q35" i="13"/>
  <c r="Q30" i="13"/>
  <c r="Q26" i="13"/>
  <c r="Q25" i="13"/>
  <c r="Q23" i="13"/>
  <c r="Q22" i="13"/>
  <c r="Q21" i="13"/>
  <c r="Q19" i="13"/>
  <c r="Q16" i="13"/>
  <c r="Q15" i="13"/>
  <c r="Q14" i="13"/>
  <c r="Q13" i="13"/>
  <c r="A7" i="13"/>
  <c r="A2" i="13"/>
  <c r="A1" i="13"/>
  <c r="S13" i="12"/>
  <c r="S12" i="12"/>
  <c r="A38" i="12"/>
  <c r="Q35" i="12"/>
  <c r="P35" i="12"/>
  <c r="O35" i="12"/>
  <c r="N35" i="12"/>
  <c r="M35" i="12"/>
  <c r="L35" i="12"/>
  <c r="K35" i="12"/>
  <c r="J35" i="12"/>
  <c r="I35" i="12"/>
  <c r="H35" i="12"/>
  <c r="G35" i="12"/>
  <c r="F35" i="12"/>
  <c r="U34" i="12"/>
  <c r="S34" i="12"/>
  <c r="U33" i="12"/>
  <c r="A7" i="12"/>
  <c r="A2" i="12"/>
  <c r="A1" i="12"/>
  <c r="C105" i="1"/>
  <c r="A22" i="11"/>
  <c r="Z19" i="11"/>
  <c r="Y19" i="11"/>
  <c r="X19" i="11"/>
  <c r="W19" i="11"/>
  <c r="V19" i="11"/>
  <c r="U19" i="11"/>
  <c r="T19" i="11"/>
  <c r="S19" i="11"/>
  <c r="R19" i="11"/>
  <c r="Q19" i="11"/>
  <c r="P19" i="11"/>
  <c r="O19" i="11"/>
  <c r="N19" i="11"/>
  <c r="E19" i="11"/>
  <c r="AA18" i="11"/>
  <c r="L18" i="11"/>
  <c r="G18" i="11"/>
  <c r="AA17" i="11"/>
  <c r="L17" i="11"/>
  <c r="G17" i="11"/>
  <c r="H17" i="11" s="1"/>
  <c r="I17" i="11" s="1"/>
  <c r="AA16" i="11"/>
  <c r="L16" i="11"/>
  <c r="G16" i="11"/>
  <c r="H16" i="11" s="1"/>
  <c r="I16" i="11" s="1"/>
  <c r="AA15" i="11"/>
  <c r="L15" i="11"/>
  <c r="G15" i="11"/>
  <c r="AA14" i="11"/>
  <c r="L14" i="11"/>
  <c r="G14" i="11"/>
  <c r="AA13" i="11"/>
  <c r="L13" i="11"/>
  <c r="G13" i="11"/>
  <c r="H13" i="11" s="1"/>
  <c r="I13" i="11" s="1"/>
  <c r="AA12" i="11"/>
  <c r="L12" i="11"/>
  <c r="G12" i="11"/>
  <c r="H12" i="11" s="1"/>
  <c r="A7" i="11"/>
  <c r="A2" i="11"/>
  <c r="A1" i="11"/>
  <c r="R56" i="24" l="1"/>
  <c r="V34" i="12"/>
  <c r="V33" i="12"/>
  <c r="T14" i="13"/>
  <c r="AB14" i="13"/>
  <c r="U14" i="13"/>
  <c r="AC14" i="13"/>
  <c r="V14" i="13"/>
  <c r="AD14" i="13"/>
  <c r="W14" i="13"/>
  <c r="X14" i="13"/>
  <c r="Y14" i="13"/>
  <c r="S14" i="13"/>
  <c r="AA14" i="13"/>
  <c r="R14" i="13"/>
  <c r="Z14" i="13"/>
  <c r="U25" i="13"/>
  <c r="AC25" i="13"/>
  <c r="V25" i="13"/>
  <c r="AD25" i="13"/>
  <c r="W25" i="13"/>
  <c r="X25" i="13"/>
  <c r="Y25" i="13"/>
  <c r="R25" i="13"/>
  <c r="Z25" i="13"/>
  <c r="T25" i="13"/>
  <c r="AB25" i="13"/>
  <c r="AA25" i="13"/>
  <c r="S25" i="13"/>
  <c r="W15" i="13"/>
  <c r="X15" i="13"/>
  <c r="Y15" i="13"/>
  <c r="R15" i="13"/>
  <c r="Z15" i="13"/>
  <c r="S15" i="13"/>
  <c r="AA15" i="13"/>
  <c r="T15" i="13"/>
  <c r="AB15" i="13"/>
  <c r="V15" i="13"/>
  <c r="AD15" i="13"/>
  <c r="U15" i="13"/>
  <c r="AC15" i="13"/>
  <c r="X26" i="13"/>
  <c r="Y26" i="13"/>
  <c r="R26" i="13"/>
  <c r="Z26" i="13"/>
  <c r="S26" i="13"/>
  <c r="AA26" i="13"/>
  <c r="T26" i="13"/>
  <c r="AB26" i="13"/>
  <c r="U26" i="13"/>
  <c r="AC26" i="13"/>
  <c r="W26" i="13"/>
  <c r="V26" i="13"/>
  <c r="AD26" i="13"/>
  <c r="R16" i="13"/>
  <c r="Z16" i="13"/>
  <c r="S16" i="13"/>
  <c r="AA16" i="13"/>
  <c r="T16" i="13"/>
  <c r="AB16" i="13"/>
  <c r="U16" i="13"/>
  <c r="AC16" i="13"/>
  <c r="V16" i="13"/>
  <c r="AD16" i="13"/>
  <c r="W16" i="13"/>
  <c r="Y16" i="13"/>
  <c r="X16" i="13"/>
  <c r="T30" i="13"/>
  <c r="AB30" i="13"/>
  <c r="U30" i="13"/>
  <c r="AC30" i="13"/>
  <c r="V30" i="13"/>
  <c r="AD30" i="13"/>
  <c r="W30" i="13"/>
  <c r="X30" i="13"/>
  <c r="Y30" i="13"/>
  <c r="S30" i="13"/>
  <c r="AA30" i="13"/>
  <c r="Z30" i="13"/>
  <c r="R30" i="13"/>
  <c r="S19" i="13"/>
  <c r="AA19" i="13"/>
  <c r="T19" i="13"/>
  <c r="AB19" i="13"/>
  <c r="U19" i="13"/>
  <c r="AC19" i="13"/>
  <c r="V19" i="13"/>
  <c r="AD19" i="13"/>
  <c r="W19" i="13"/>
  <c r="X19" i="13"/>
  <c r="R19" i="13"/>
  <c r="Z19" i="13"/>
  <c r="Y19" i="13"/>
  <c r="S35" i="13"/>
  <c r="T35" i="13"/>
  <c r="AB35" i="13"/>
  <c r="AD35" i="13"/>
  <c r="U35" i="13"/>
  <c r="AC35" i="13"/>
  <c r="V35" i="13"/>
  <c r="W35" i="13"/>
  <c r="X35" i="13"/>
  <c r="R35" i="13"/>
  <c r="Z35" i="13"/>
  <c r="AA35" i="13"/>
  <c r="Y35" i="13"/>
  <c r="Y21" i="13"/>
  <c r="R21" i="13"/>
  <c r="Z21" i="13"/>
  <c r="S21" i="13"/>
  <c r="AA21" i="13"/>
  <c r="T21" i="13"/>
  <c r="AB21" i="13"/>
  <c r="U21" i="13"/>
  <c r="AC21" i="13"/>
  <c r="V21" i="13"/>
  <c r="AD21" i="13"/>
  <c r="X21" i="13"/>
  <c r="W21" i="13"/>
  <c r="R37" i="13"/>
  <c r="Z37" i="13"/>
  <c r="S37" i="13"/>
  <c r="AA37" i="13"/>
  <c r="T37" i="13"/>
  <c r="U37" i="13"/>
  <c r="AC37" i="13"/>
  <c r="V37" i="13"/>
  <c r="AD37" i="13"/>
  <c r="X37" i="13"/>
  <c r="AB37" i="13"/>
  <c r="Y37" i="13"/>
  <c r="W37" i="13"/>
  <c r="T22" i="13"/>
  <c r="AB22" i="13"/>
  <c r="U22" i="13"/>
  <c r="AC22" i="13"/>
  <c r="V22" i="13"/>
  <c r="AD22" i="13"/>
  <c r="W22" i="13"/>
  <c r="X22" i="13"/>
  <c r="Y22" i="13"/>
  <c r="S22" i="13"/>
  <c r="AA22" i="13"/>
  <c r="R22" i="13"/>
  <c r="Z22" i="13"/>
  <c r="U38" i="13"/>
  <c r="AC38" i="13"/>
  <c r="V38" i="13"/>
  <c r="AD38" i="13"/>
  <c r="W38" i="13"/>
  <c r="X38" i="13"/>
  <c r="Y38" i="13"/>
  <c r="S38" i="13"/>
  <c r="AA38" i="13"/>
  <c r="R38" i="13"/>
  <c r="AB38" i="13"/>
  <c r="T38" i="13"/>
  <c r="Z38" i="13"/>
  <c r="X39" i="13"/>
  <c r="Y39" i="13"/>
  <c r="S39" i="13"/>
  <c r="AA39" i="13"/>
  <c r="T39" i="13"/>
  <c r="AB39" i="13"/>
  <c r="V39" i="13"/>
  <c r="AD39" i="13"/>
  <c r="Z39" i="13"/>
  <c r="AC39" i="13"/>
  <c r="W39" i="13"/>
  <c r="R39" i="13"/>
  <c r="U39" i="13"/>
  <c r="W23" i="13"/>
  <c r="X23" i="13"/>
  <c r="Y23" i="13"/>
  <c r="R23" i="13"/>
  <c r="Z23" i="13"/>
  <c r="S23" i="13"/>
  <c r="AA23" i="13"/>
  <c r="T23" i="13"/>
  <c r="AB23" i="13"/>
  <c r="V23" i="13"/>
  <c r="AD23" i="13"/>
  <c r="AC23" i="13"/>
  <c r="U23" i="13"/>
  <c r="T13" i="13"/>
  <c r="AB13" i="13"/>
  <c r="U13" i="13"/>
  <c r="AC13" i="13"/>
  <c r="W13" i="13"/>
  <c r="R13" i="13"/>
  <c r="X13" i="13"/>
  <c r="Z13" i="13"/>
  <c r="V13" i="13"/>
  <c r="Y13" i="13"/>
  <c r="S13" i="13"/>
  <c r="AA13" i="13"/>
  <c r="AD13" i="13"/>
  <c r="V36" i="13"/>
  <c r="AD36" i="13"/>
  <c r="W36" i="13"/>
  <c r="X36" i="13"/>
  <c r="Y36" i="13"/>
  <c r="R36" i="13"/>
  <c r="Z36" i="13"/>
  <c r="S36" i="13"/>
  <c r="AA36" i="13"/>
  <c r="U36" i="13"/>
  <c r="AC36" i="13"/>
  <c r="T36" i="13"/>
  <c r="AB36" i="13"/>
  <c r="AC15" i="11"/>
  <c r="AC13" i="11"/>
  <c r="AC17" i="11"/>
  <c r="AC12" i="11"/>
  <c r="AC16" i="11"/>
  <c r="AC14" i="11"/>
  <c r="AC18" i="11"/>
  <c r="M16" i="11"/>
  <c r="S35" i="12"/>
  <c r="D66" i="1" s="1"/>
  <c r="I12" i="11"/>
  <c r="M12" i="11" s="1"/>
  <c r="M17" i="11"/>
  <c r="M13" i="11"/>
  <c r="H15" i="11"/>
  <c r="I15" i="11" s="1"/>
  <c r="M15" i="11" s="1"/>
  <c r="G19" i="11"/>
  <c r="AA19" i="11"/>
  <c r="D65" i="1" s="1"/>
  <c r="H14" i="11"/>
  <c r="I14" i="11" s="1"/>
  <c r="H18" i="11"/>
  <c r="I18" i="11" s="1"/>
  <c r="M18" i="11" s="1"/>
  <c r="D68" i="29" l="1"/>
  <c r="D70" i="29" s="1"/>
  <c r="M14" i="11"/>
  <c r="M19" i="11" s="1"/>
  <c r="I19" i="11"/>
  <c r="D105" i="1" s="1"/>
  <c r="AC19" i="11"/>
  <c r="I105" i="1" l="1"/>
  <c r="I65" i="1"/>
  <c r="C58" i="1"/>
  <c r="A22" i="10"/>
  <c r="S19" i="10"/>
  <c r="R19" i="10"/>
  <c r="Q19" i="10"/>
  <c r="P19" i="10"/>
  <c r="O19" i="10"/>
  <c r="N19" i="10"/>
  <c r="M19" i="10"/>
  <c r="L19" i="10"/>
  <c r="K19" i="10"/>
  <c r="J19" i="10"/>
  <c r="I19" i="10"/>
  <c r="H19" i="10"/>
  <c r="G19" i="10"/>
  <c r="V18" i="10"/>
  <c r="W18" i="10" s="1"/>
  <c r="T18" i="10"/>
  <c r="V17" i="10"/>
  <c r="W17" i="10" s="1"/>
  <c r="T17" i="10"/>
  <c r="V16" i="10"/>
  <c r="W16" i="10" s="1"/>
  <c r="T16" i="10"/>
  <c r="V15" i="10"/>
  <c r="W15" i="10" s="1"/>
  <c r="T15" i="10"/>
  <c r="V14" i="10"/>
  <c r="W14" i="10" s="1"/>
  <c r="T14" i="10"/>
  <c r="V13" i="10"/>
  <c r="W13" i="10" s="1"/>
  <c r="T13" i="10"/>
  <c r="V12" i="10"/>
  <c r="W12" i="10" s="1"/>
  <c r="T12" i="10"/>
  <c r="A7" i="10"/>
  <c r="A2" i="10"/>
  <c r="A1" i="10"/>
  <c r="W19" i="10" l="1"/>
  <c r="T19" i="10"/>
  <c r="D58" i="1" s="1"/>
  <c r="I58" i="1" l="1"/>
  <c r="H12" i="8"/>
  <c r="I12" i="8" s="1"/>
  <c r="J12" i="8" s="1"/>
  <c r="C70" i="1"/>
  <c r="T18" i="9"/>
  <c r="U18" i="9" s="1"/>
  <c r="T17" i="9"/>
  <c r="U17" i="9" s="1"/>
  <c r="T16" i="9"/>
  <c r="U16" i="9" s="1"/>
  <c r="T15" i="9"/>
  <c r="U15" i="9" s="1"/>
  <c r="T14" i="9"/>
  <c r="U14" i="9" s="1"/>
  <c r="T13" i="9"/>
  <c r="T12" i="9"/>
  <c r="A22" i="9"/>
  <c r="Q19" i="9"/>
  <c r="P19" i="9"/>
  <c r="O19" i="9"/>
  <c r="N19" i="9"/>
  <c r="M19" i="9"/>
  <c r="L19" i="9"/>
  <c r="K19" i="9"/>
  <c r="J19" i="9"/>
  <c r="I19" i="9"/>
  <c r="H19" i="9"/>
  <c r="G19" i="9"/>
  <c r="F19" i="9"/>
  <c r="E19" i="9"/>
  <c r="R18" i="9"/>
  <c r="R17" i="9"/>
  <c r="R16" i="9"/>
  <c r="R15" i="9"/>
  <c r="R14" i="9"/>
  <c r="R13" i="9"/>
  <c r="R12" i="9"/>
  <c r="A7" i="9"/>
  <c r="A2" i="9"/>
  <c r="A1" i="9"/>
  <c r="AA23" i="8"/>
  <c r="Z23" i="8"/>
  <c r="Y23" i="8"/>
  <c r="X23" i="8"/>
  <c r="W23" i="8"/>
  <c r="V23" i="8"/>
  <c r="U23" i="8"/>
  <c r="T23" i="8"/>
  <c r="S23" i="8"/>
  <c r="R23" i="8"/>
  <c r="Q23" i="8"/>
  <c r="P23" i="8"/>
  <c r="O23" i="8"/>
  <c r="AA21" i="8"/>
  <c r="Z21" i="8"/>
  <c r="Y21" i="8"/>
  <c r="X21" i="8"/>
  <c r="W21" i="8"/>
  <c r="V21" i="8"/>
  <c r="U21" i="8"/>
  <c r="T21" i="8"/>
  <c r="S21" i="8"/>
  <c r="R21" i="8"/>
  <c r="Q21" i="8"/>
  <c r="P21" i="8"/>
  <c r="O21" i="8"/>
  <c r="F23" i="8"/>
  <c r="AB13" i="8"/>
  <c r="AB23" i="8" s="1"/>
  <c r="D64" i="1" s="1"/>
  <c r="AB14" i="8"/>
  <c r="AB15" i="8"/>
  <c r="AB16" i="8"/>
  <c r="AB17" i="8"/>
  <c r="AB18" i="8"/>
  <c r="M13" i="8"/>
  <c r="M14" i="8"/>
  <c r="M15" i="8"/>
  <c r="M16" i="8"/>
  <c r="M17" i="8"/>
  <c r="AD17" i="8" s="1"/>
  <c r="M18" i="8"/>
  <c r="AD18" i="8" s="1"/>
  <c r="M12" i="8"/>
  <c r="H13" i="8"/>
  <c r="H23" i="8" s="1"/>
  <c r="H14" i="8"/>
  <c r="H21" i="8" s="1"/>
  <c r="H15" i="8"/>
  <c r="I15" i="8" s="1"/>
  <c r="H16" i="8"/>
  <c r="I16" i="8" s="1"/>
  <c r="H17" i="8"/>
  <c r="I17" i="8" s="1"/>
  <c r="H18" i="8"/>
  <c r="I18" i="8" s="1"/>
  <c r="A26" i="8"/>
  <c r="A21" i="8"/>
  <c r="AA19" i="8"/>
  <c r="Z19" i="8"/>
  <c r="Y19" i="8"/>
  <c r="X19" i="8"/>
  <c r="W19" i="8"/>
  <c r="V19" i="8"/>
  <c r="U19" i="8"/>
  <c r="T19" i="8"/>
  <c r="S19" i="8"/>
  <c r="R19" i="8"/>
  <c r="Q19" i="8"/>
  <c r="P19" i="8"/>
  <c r="O19" i="8"/>
  <c r="F19" i="8"/>
  <c r="AB12" i="8"/>
  <c r="A7" i="8"/>
  <c r="A2" i="8"/>
  <c r="A1" i="8"/>
  <c r="AD14" i="8" l="1"/>
  <c r="C63" i="1"/>
  <c r="B30" i="8"/>
  <c r="AB21" i="8"/>
  <c r="D63" i="1" s="1"/>
  <c r="D68" i="1" s="1"/>
  <c r="A23" i="8"/>
  <c r="U12" i="9"/>
  <c r="U13" i="9"/>
  <c r="AD16" i="8"/>
  <c r="AD15" i="8"/>
  <c r="I14" i="8"/>
  <c r="J14" i="8" s="1"/>
  <c r="N14" i="8" s="1"/>
  <c r="I13" i="8"/>
  <c r="AD13" i="8"/>
  <c r="AD23" i="8" s="1"/>
  <c r="J21" i="8"/>
  <c r="D106" i="1" s="1"/>
  <c r="C106" i="1"/>
  <c r="AD12" i="8"/>
  <c r="AD21" i="8" s="1"/>
  <c r="R19" i="9"/>
  <c r="D70" i="1" s="1"/>
  <c r="D72" i="29" s="1"/>
  <c r="N12" i="8"/>
  <c r="H19" i="8"/>
  <c r="J16" i="8"/>
  <c r="N16" i="8" s="1"/>
  <c r="AB19" i="8"/>
  <c r="J13" i="8"/>
  <c r="U19" i="9" l="1"/>
  <c r="C107" i="1"/>
  <c r="C64" i="1"/>
  <c r="I64" i="1"/>
  <c r="I70" i="1"/>
  <c r="I72" i="29" s="1"/>
  <c r="I63" i="1"/>
  <c r="N21" i="8"/>
  <c r="N13" i="8"/>
  <c r="N23" i="8" s="1"/>
  <c r="J23" i="8"/>
  <c r="D107" i="1" s="1"/>
  <c r="AD19" i="8"/>
  <c r="J17" i="8"/>
  <c r="N17" i="8" s="1"/>
  <c r="J18" i="8"/>
  <c r="N18" i="8" s="1"/>
  <c r="J15" i="8"/>
  <c r="N15" i="8" s="1"/>
  <c r="I107" i="1" l="1"/>
  <c r="I106" i="1"/>
  <c r="J19" i="8"/>
  <c r="N19" i="8"/>
  <c r="E14" i="7" l="1"/>
  <c r="E15" i="7"/>
  <c r="E16" i="7"/>
  <c r="E17" i="7"/>
  <c r="E18" i="7"/>
  <c r="E19" i="7"/>
  <c r="E20" i="7"/>
  <c r="E21" i="7"/>
  <c r="E22" i="7"/>
  <c r="E23" i="7"/>
  <c r="E24" i="7"/>
  <c r="E25" i="7"/>
  <c r="A29" i="7"/>
  <c r="F26" i="7"/>
  <c r="D76" i="1" s="1"/>
  <c r="D78" i="29" s="1"/>
  <c r="D26" i="7"/>
  <c r="D75" i="1" s="1"/>
  <c r="D77" i="29" s="1"/>
  <c r="C26" i="7"/>
  <c r="D74" i="1" s="1"/>
  <c r="D76" i="29" s="1"/>
  <c r="A14" i="7"/>
  <c r="A15" i="7" s="1"/>
  <c r="A16" i="7" s="1"/>
  <c r="A17" i="7" s="1"/>
  <c r="A18" i="7" s="1"/>
  <c r="A19" i="7" s="1"/>
  <c r="A20" i="7" s="1"/>
  <c r="A21" i="7" s="1"/>
  <c r="A22" i="7" s="1"/>
  <c r="A23" i="7" s="1"/>
  <c r="A24" i="7" s="1"/>
  <c r="A25" i="7" s="1"/>
  <c r="A26" i="7" s="1"/>
  <c r="C75" i="1" s="1"/>
  <c r="A7" i="7"/>
  <c r="A2" i="7"/>
  <c r="A1" i="7"/>
  <c r="D106" i="29"/>
  <c r="A78" i="6"/>
  <c r="I75" i="6"/>
  <c r="H75" i="6"/>
  <c r="F75" i="6"/>
  <c r="E75" i="6"/>
  <c r="D75" i="6"/>
  <c r="C75" i="6"/>
  <c r="G74" i="6"/>
  <c r="G73" i="6"/>
  <c r="J73" i="6" s="1"/>
  <c r="G72" i="6"/>
  <c r="J72" i="6" s="1"/>
  <c r="G71" i="6"/>
  <c r="J71" i="6" s="1"/>
  <c r="G70" i="6"/>
  <c r="J70" i="6" s="1"/>
  <c r="G69" i="6"/>
  <c r="J69" i="6" s="1"/>
  <c r="G68" i="6"/>
  <c r="J68" i="6" s="1"/>
  <c r="G67" i="6"/>
  <c r="J67" i="6" s="1"/>
  <c r="G66" i="6"/>
  <c r="J66" i="6" s="1"/>
  <c r="G65" i="6"/>
  <c r="J65" i="6" s="1"/>
  <c r="G64" i="6"/>
  <c r="J64" i="6" s="1"/>
  <c r="G63" i="6"/>
  <c r="J63" i="6" s="1"/>
  <c r="G62" i="6"/>
  <c r="I59" i="6"/>
  <c r="H59" i="6"/>
  <c r="F59" i="6"/>
  <c r="E59" i="6"/>
  <c r="D59" i="6"/>
  <c r="C59" i="6"/>
  <c r="G58" i="6"/>
  <c r="K11" i="31" s="1"/>
  <c r="L11" i="31" s="1"/>
  <c r="G57" i="6"/>
  <c r="J57" i="6" s="1"/>
  <c r="G56" i="6"/>
  <c r="J56" i="6" s="1"/>
  <c r="G55" i="6"/>
  <c r="J55" i="6" s="1"/>
  <c r="G54" i="6"/>
  <c r="J54" i="6" s="1"/>
  <c r="G53" i="6"/>
  <c r="J53" i="6" s="1"/>
  <c r="G52" i="6"/>
  <c r="J52" i="6" s="1"/>
  <c r="G51" i="6"/>
  <c r="J51" i="6" s="1"/>
  <c r="G50" i="6"/>
  <c r="J50" i="6" s="1"/>
  <c r="G49" i="6"/>
  <c r="J49" i="6" s="1"/>
  <c r="G48" i="6"/>
  <c r="J48" i="6" s="1"/>
  <c r="G47" i="6"/>
  <c r="J47" i="6" s="1"/>
  <c r="G46" i="6"/>
  <c r="H43" i="6"/>
  <c r="F43" i="6"/>
  <c r="E43" i="6"/>
  <c r="D43" i="6"/>
  <c r="C43" i="6"/>
  <c r="D26" i="6"/>
  <c r="E26" i="6"/>
  <c r="F26" i="6"/>
  <c r="H26" i="6"/>
  <c r="I26" i="6"/>
  <c r="C26" i="6"/>
  <c r="G41" i="6"/>
  <c r="J41" i="6" s="1"/>
  <c r="G40" i="6"/>
  <c r="J40" i="6" s="1"/>
  <c r="G39" i="6"/>
  <c r="J39" i="6" s="1"/>
  <c r="G38" i="6"/>
  <c r="J38" i="6" s="1"/>
  <c r="G37" i="6"/>
  <c r="J37" i="6" s="1"/>
  <c r="G36" i="6"/>
  <c r="J36" i="6" s="1"/>
  <c r="G35" i="6"/>
  <c r="J35" i="6" s="1"/>
  <c r="G34" i="6"/>
  <c r="J34" i="6" s="1"/>
  <c r="G33" i="6"/>
  <c r="J33" i="6" s="1"/>
  <c r="G32" i="6"/>
  <c r="J32" i="6" s="1"/>
  <c r="G31" i="6"/>
  <c r="G14" i="6"/>
  <c r="J14" i="6" s="1"/>
  <c r="J15" i="6"/>
  <c r="G16" i="6"/>
  <c r="J16" i="6" s="1"/>
  <c r="G17" i="6"/>
  <c r="J17" i="6" s="1"/>
  <c r="G18" i="6"/>
  <c r="J18" i="6" s="1"/>
  <c r="G19" i="6"/>
  <c r="J19" i="6" s="1"/>
  <c r="G20" i="6"/>
  <c r="J20" i="6" s="1"/>
  <c r="G21" i="6"/>
  <c r="J21" i="6" s="1"/>
  <c r="G22" i="6"/>
  <c r="J22" i="6" s="1"/>
  <c r="G23" i="6"/>
  <c r="J23" i="6" s="1"/>
  <c r="G24" i="6"/>
  <c r="J24" i="6" s="1"/>
  <c r="J25" i="6"/>
  <c r="A14" i="6"/>
  <c r="A15" i="6" s="1"/>
  <c r="A16" i="6" s="1"/>
  <c r="A17" i="6" s="1"/>
  <c r="A18" i="6" s="1"/>
  <c r="A19" i="6" s="1"/>
  <c r="A20" i="6" s="1"/>
  <c r="A21" i="6" s="1"/>
  <c r="A22" i="6" s="1"/>
  <c r="A23" i="6" s="1"/>
  <c r="A24" i="6" s="1"/>
  <c r="A25" i="6" s="1"/>
  <c r="A7" i="6"/>
  <c r="A2" i="6"/>
  <c r="A1" i="6"/>
  <c r="D94" i="1"/>
  <c r="D24" i="40" s="1"/>
  <c r="A33" i="5"/>
  <c r="I7" i="5"/>
  <c r="D7" i="5"/>
  <c r="D15" i="5"/>
  <c r="D17" i="5" s="1"/>
  <c r="A16" i="5"/>
  <c r="C17" i="5" s="1"/>
  <c r="C7" i="5"/>
  <c r="B7" i="5"/>
  <c r="A7" i="5"/>
  <c r="A2" i="5"/>
  <c r="A1" i="5"/>
  <c r="D85" i="1"/>
  <c r="D15" i="40" s="1"/>
  <c r="F38" i="4"/>
  <c r="F37" i="4"/>
  <c r="F35" i="4"/>
  <c r="G47" i="1"/>
  <c r="G45" i="1"/>
  <c r="G40" i="1"/>
  <c r="G38" i="1"/>
  <c r="M40" i="3"/>
  <c r="M41" i="3"/>
  <c r="M14" i="3"/>
  <c r="O14" i="3" s="1"/>
  <c r="M16" i="3"/>
  <c r="O16" i="3" s="1"/>
  <c r="M18" i="3"/>
  <c r="O18" i="3" s="1"/>
  <c r="M20" i="3"/>
  <c r="O20" i="3" s="1"/>
  <c r="A12" i="4"/>
  <c r="A14" i="4" s="1"/>
  <c r="A17" i="4" s="1"/>
  <c r="C7" i="4"/>
  <c r="B7" i="4"/>
  <c r="A7" i="4"/>
  <c r="A2" i="4"/>
  <c r="A1" i="4"/>
  <c r="G39" i="3"/>
  <c r="H39" i="3"/>
  <c r="I39" i="3"/>
  <c r="G40" i="3"/>
  <c r="H40" i="3"/>
  <c r="I40" i="3"/>
  <c r="G41" i="3"/>
  <c r="H41" i="3"/>
  <c r="I41" i="3"/>
  <c r="F40" i="3"/>
  <c r="F41" i="3"/>
  <c r="F39" i="3"/>
  <c r="G36" i="3"/>
  <c r="H36" i="3"/>
  <c r="I36" i="3"/>
  <c r="F36" i="3"/>
  <c r="J25" i="3"/>
  <c r="J27" i="3"/>
  <c r="J28" i="3"/>
  <c r="J29" i="3"/>
  <c r="J30" i="3"/>
  <c r="J39" i="3" s="1"/>
  <c r="J31" i="3"/>
  <c r="J32" i="3"/>
  <c r="J33" i="3"/>
  <c r="J34" i="3"/>
  <c r="J35" i="3"/>
  <c r="J24" i="3"/>
  <c r="D17" i="1"/>
  <c r="O7" i="3"/>
  <c r="J7" i="3"/>
  <c r="A14" i="3"/>
  <c r="A15" i="3" s="1"/>
  <c r="A16" i="3" s="1"/>
  <c r="A17" i="3" s="1"/>
  <c r="A18" i="3" s="1"/>
  <c r="A19" i="3" s="1"/>
  <c r="A20" i="3" s="1"/>
  <c r="F29" i="4" l="1"/>
  <c r="H42" i="3"/>
  <c r="A26" i="6"/>
  <c r="C74" i="1"/>
  <c r="D17" i="29"/>
  <c r="F39" i="4"/>
  <c r="A17" i="5"/>
  <c r="C76" i="1"/>
  <c r="D40" i="1"/>
  <c r="D48" i="1"/>
  <c r="D50" i="29" s="1"/>
  <c r="D47" i="1"/>
  <c r="J30" i="6"/>
  <c r="J42" i="6"/>
  <c r="J62" i="6"/>
  <c r="J75" i="6" s="1"/>
  <c r="J46" i="6"/>
  <c r="J58" i="6"/>
  <c r="J74" i="6"/>
  <c r="D41" i="1"/>
  <c r="G26" i="6"/>
  <c r="D38" i="1"/>
  <c r="D45" i="1"/>
  <c r="J26" i="6"/>
  <c r="D91" i="1"/>
  <c r="D20" i="40" s="1"/>
  <c r="E26" i="7"/>
  <c r="G75" i="6"/>
  <c r="G59" i="6"/>
  <c r="D46" i="1" s="1"/>
  <c r="G43" i="6"/>
  <c r="J31" i="6"/>
  <c r="J36" i="3"/>
  <c r="J40" i="3"/>
  <c r="O40" i="3" s="1"/>
  <c r="A18" i="4"/>
  <c r="A20" i="4" s="1"/>
  <c r="A23" i="4" s="1"/>
  <c r="A24" i="4" s="1"/>
  <c r="C26" i="4" s="1"/>
  <c r="A21" i="3"/>
  <c r="E21" i="3"/>
  <c r="J41" i="3"/>
  <c r="O41" i="3" s="1"/>
  <c r="I42" i="3"/>
  <c r="F42" i="3"/>
  <c r="G42" i="3"/>
  <c r="A2" i="3"/>
  <c r="A1" i="3"/>
  <c r="D92" i="1"/>
  <c r="D21" i="40" s="1"/>
  <c r="D86" i="1"/>
  <c r="D16" i="40" s="1"/>
  <c r="D84" i="1"/>
  <c r="D14" i="40" s="1"/>
  <c r="A12" i="2"/>
  <c r="C7" i="2"/>
  <c r="B7" i="2"/>
  <c r="A7" i="2"/>
  <c r="A2" i="2"/>
  <c r="A1" i="2"/>
  <c r="D116" i="1"/>
  <c r="B116" i="1"/>
  <c r="I114" i="1"/>
  <c r="D108" i="1"/>
  <c r="B96" i="1"/>
  <c r="B87" i="1"/>
  <c r="B77" i="1"/>
  <c r="B68" i="1"/>
  <c r="B56" i="1"/>
  <c r="B20" i="1"/>
  <c r="A17" i="1"/>
  <c r="A29" i="6" l="1"/>
  <c r="A13" i="2"/>
  <c r="B143" i="24"/>
  <c r="A18" i="1"/>
  <c r="C17" i="29"/>
  <c r="I45" i="1"/>
  <c r="D47" i="29"/>
  <c r="I47" i="1"/>
  <c r="D49" i="29"/>
  <c r="I49" i="29" s="1"/>
  <c r="I40" i="1"/>
  <c r="D42" i="29"/>
  <c r="I38" i="1"/>
  <c r="D40" i="29"/>
  <c r="D55" i="1"/>
  <c r="D43" i="29"/>
  <c r="D57" i="29" s="1"/>
  <c r="D54" i="1"/>
  <c r="D96" i="1"/>
  <c r="A19" i="5"/>
  <c r="B151" i="29" s="1"/>
  <c r="C91" i="1"/>
  <c r="J59" i="6"/>
  <c r="J43" i="6"/>
  <c r="D49" i="1"/>
  <c r="D52" i="1"/>
  <c r="D39" i="1"/>
  <c r="C48" i="31" s="1"/>
  <c r="A26" i="4"/>
  <c r="A29" i="4" s="1"/>
  <c r="A30" i="4" s="1"/>
  <c r="A32" i="4" s="1"/>
  <c r="J42" i="3"/>
  <c r="J46" i="3" s="1"/>
  <c r="C20" i="4"/>
  <c r="A24" i="3"/>
  <c r="C17" i="1"/>
  <c r="D87" i="1"/>
  <c r="D18" i="1" l="1"/>
  <c r="D20" i="1" s="1"/>
  <c r="A30" i="6"/>
  <c r="A31" i="6" s="1"/>
  <c r="A32" i="6" s="1"/>
  <c r="A33" i="6" s="1"/>
  <c r="A34" i="6" s="1"/>
  <c r="A35" i="6" s="1"/>
  <c r="A36" i="6" s="1"/>
  <c r="A37" i="6" s="1"/>
  <c r="A38" i="6" s="1"/>
  <c r="A39" i="6" s="1"/>
  <c r="A40" i="6" s="1"/>
  <c r="A41" i="6" s="1"/>
  <c r="A42" i="6" s="1"/>
  <c r="A43" i="6" s="1"/>
  <c r="B79" i="6"/>
  <c r="A16" i="2"/>
  <c r="B143" i="33"/>
  <c r="B149" i="1"/>
  <c r="I52" i="1"/>
  <c r="C18" i="29"/>
  <c r="I54" i="1"/>
  <c r="I20" i="31"/>
  <c r="J20" i="31" s="1"/>
  <c r="I12" i="31"/>
  <c r="J12" i="31" s="1"/>
  <c r="K12" i="31" s="1"/>
  <c r="I13" i="31"/>
  <c r="J13" i="31" s="1"/>
  <c r="I21" i="31"/>
  <c r="J21" i="31" s="1"/>
  <c r="I14" i="31"/>
  <c r="J14" i="31" s="1"/>
  <c r="I22" i="31"/>
  <c r="J22" i="31" s="1"/>
  <c r="I15" i="31"/>
  <c r="J15" i="31" s="1"/>
  <c r="I23" i="31"/>
  <c r="J23" i="31" s="1"/>
  <c r="I16" i="31"/>
  <c r="J16" i="31" s="1"/>
  <c r="I17" i="31"/>
  <c r="J17" i="31" s="1"/>
  <c r="I18" i="31"/>
  <c r="J18" i="31" s="1"/>
  <c r="I19" i="31"/>
  <c r="J19" i="31" s="1"/>
  <c r="I47" i="29"/>
  <c r="F32" i="44"/>
  <c r="I40" i="29"/>
  <c r="D44" i="29"/>
  <c r="F18" i="44" s="1"/>
  <c r="D54" i="29"/>
  <c r="D56" i="29"/>
  <c r="I42" i="29"/>
  <c r="I56" i="29" s="1"/>
  <c r="D18" i="29"/>
  <c r="D20" i="29" s="1"/>
  <c r="C32" i="4"/>
  <c r="A35" i="4"/>
  <c r="A36" i="4" s="1"/>
  <c r="A37" i="4" s="1"/>
  <c r="A38" i="4" s="1"/>
  <c r="C39" i="4" s="1"/>
  <c r="C94" i="1"/>
  <c r="A22" i="5"/>
  <c r="F30" i="4"/>
  <c r="F32" i="4" s="1"/>
  <c r="D53" i="1"/>
  <c r="D56" i="1" s="1"/>
  <c r="D42" i="1"/>
  <c r="F18" i="4" s="1"/>
  <c r="D100" i="1"/>
  <c r="D73" i="1" s="1"/>
  <c r="D77" i="1" s="1"/>
  <c r="A25" i="3"/>
  <c r="A26" i="3" s="1"/>
  <c r="A27" i="3" s="1"/>
  <c r="A28" i="3" s="1"/>
  <c r="A29" i="3" s="1"/>
  <c r="A30" i="3" s="1"/>
  <c r="A31" i="3" s="1"/>
  <c r="A32" i="3" s="1"/>
  <c r="A33" i="3" s="1"/>
  <c r="A34" i="3" s="1"/>
  <c r="A35" i="3" s="1"/>
  <c r="A36" i="3" s="1"/>
  <c r="E36" i="3" l="1"/>
  <c r="E40" i="3"/>
  <c r="A47" i="6"/>
  <c r="A48" i="6" s="1"/>
  <c r="A49" i="6" s="1"/>
  <c r="A50" i="6" s="1"/>
  <c r="A51" i="6" s="1"/>
  <c r="A52" i="6" s="1"/>
  <c r="A53" i="6" s="1"/>
  <c r="A54" i="6" s="1"/>
  <c r="A55" i="6" s="1"/>
  <c r="A56" i="6" s="1"/>
  <c r="A57" i="6" s="1"/>
  <c r="A58" i="6" s="1"/>
  <c r="A46" i="6"/>
  <c r="C40" i="1"/>
  <c r="C29" i="4"/>
  <c r="C38" i="1"/>
  <c r="C39" i="1"/>
  <c r="C41" i="1"/>
  <c r="E39" i="3"/>
  <c r="F12" i="7"/>
  <c r="A17" i="2"/>
  <c r="A18" i="2" s="1"/>
  <c r="A19" i="2" s="1"/>
  <c r="C11" i="17" s="1"/>
  <c r="I54" i="29"/>
  <c r="L12" i="31"/>
  <c r="K13" i="31"/>
  <c r="F24" i="4"/>
  <c r="D11" i="40"/>
  <c r="F42" i="40" s="1"/>
  <c r="F41" i="44"/>
  <c r="F43" i="44" s="1"/>
  <c r="G106" i="29" s="1"/>
  <c r="G88" i="29"/>
  <c r="G48" i="29"/>
  <c r="G86" i="29"/>
  <c r="G87" i="29"/>
  <c r="G105" i="29"/>
  <c r="G41" i="29"/>
  <c r="I41" i="29" s="1"/>
  <c r="G76" i="29"/>
  <c r="I76" i="29" s="1"/>
  <c r="F41" i="4"/>
  <c r="F43" i="4" s="1"/>
  <c r="G39" i="1"/>
  <c r="I39" i="1" s="1"/>
  <c r="A39" i="4"/>
  <c r="A41" i="4" s="1"/>
  <c r="C41" i="4"/>
  <c r="A30" i="5"/>
  <c r="C93" i="1" s="1"/>
  <c r="D79" i="1"/>
  <c r="D124" i="1" s="1"/>
  <c r="G30" i="5"/>
  <c r="I30" i="5" s="1"/>
  <c r="G85" i="1"/>
  <c r="I85" i="1" s="1"/>
  <c r="G46" i="1"/>
  <c r="I46" i="1" s="1"/>
  <c r="M39" i="3"/>
  <c r="O39" i="3" s="1"/>
  <c r="O42" i="3" s="1"/>
  <c r="I18" i="1" s="1"/>
  <c r="I18" i="29" s="1"/>
  <c r="M19" i="3"/>
  <c r="O19" i="3" s="1"/>
  <c r="G103" i="1"/>
  <c r="I103" i="1" s="1"/>
  <c r="G84" i="1"/>
  <c r="I84" i="1" s="1"/>
  <c r="G86" i="1"/>
  <c r="I86" i="1" s="1"/>
  <c r="G74" i="1"/>
  <c r="I74" i="1" s="1"/>
  <c r="M15" i="3"/>
  <c r="O15" i="3" s="1"/>
  <c r="A43" i="4"/>
  <c r="C43" i="4"/>
  <c r="E41" i="3"/>
  <c r="A39" i="3"/>
  <c r="A20" i="2" l="1"/>
  <c r="A59" i="6"/>
  <c r="D11" i="31"/>
  <c r="E15" i="19"/>
  <c r="F15" i="19" s="1"/>
  <c r="E16" i="19"/>
  <c r="F16" i="19" s="1"/>
  <c r="E14" i="19"/>
  <c r="F14" i="19" s="1"/>
  <c r="A22" i="1"/>
  <c r="C22" i="1"/>
  <c r="Q29" i="25"/>
  <c r="AD29" i="25" s="1"/>
  <c r="U16" i="12"/>
  <c r="V16" i="12" s="1"/>
  <c r="U24" i="12"/>
  <c r="V24" i="12" s="1"/>
  <c r="U32" i="12"/>
  <c r="V32" i="12" s="1"/>
  <c r="U19" i="12"/>
  <c r="V19" i="12" s="1"/>
  <c r="U28" i="12"/>
  <c r="V28" i="12" s="1"/>
  <c r="U23" i="12"/>
  <c r="V23" i="12" s="1"/>
  <c r="U17" i="12"/>
  <c r="V17" i="12" s="1"/>
  <c r="U25" i="12"/>
  <c r="V25" i="12" s="1"/>
  <c r="U18" i="12"/>
  <c r="V18" i="12" s="1"/>
  <c r="U26" i="12"/>
  <c r="V26" i="12" s="1"/>
  <c r="U27" i="12"/>
  <c r="V27" i="12" s="1"/>
  <c r="U20" i="12"/>
  <c r="V20" i="12" s="1"/>
  <c r="U21" i="12"/>
  <c r="V21" i="12" s="1"/>
  <c r="U29" i="12"/>
  <c r="V29" i="12" s="1"/>
  <c r="U22" i="12"/>
  <c r="V22" i="12" s="1"/>
  <c r="U30" i="12"/>
  <c r="V30" i="12" s="1"/>
  <c r="U15" i="12"/>
  <c r="V15" i="12" s="1"/>
  <c r="U31" i="12"/>
  <c r="V31" i="12" s="1"/>
  <c r="U14" i="12"/>
  <c r="V14" i="12" s="1"/>
  <c r="U13" i="12"/>
  <c r="V13" i="12" s="1"/>
  <c r="U12" i="12"/>
  <c r="V12" i="12" s="1"/>
  <c r="D115" i="29"/>
  <c r="E36" i="40"/>
  <c r="E35" i="40"/>
  <c r="E34" i="40"/>
  <c r="E33" i="40"/>
  <c r="E37" i="40"/>
  <c r="E19" i="40"/>
  <c r="E28" i="40"/>
  <c r="E29" i="40"/>
  <c r="E27" i="40"/>
  <c r="E30" i="40"/>
  <c r="E24" i="40"/>
  <c r="E15" i="40"/>
  <c r="E20" i="40"/>
  <c r="E14" i="40"/>
  <c r="E16" i="40"/>
  <c r="E21" i="40"/>
  <c r="K14" i="31"/>
  <c r="L13" i="31"/>
  <c r="G113" i="29"/>
  <c r="I106" i="29"/>
  <c r="Q31" i="34"/>
  <c r="G97" i="29"/>
  <c r="I97" i="29" s="1"/>
  <c r="G50" i="29"/>
  <c r="I50" i="29" s="1"/>
  <c r="G96" i="29"/>
  <c r="G77" i="29"/>
  <c r="I77" i="29" s="1"/>
  <c r="G93" i="29"/>
  <c r="R29" i="35"/>
  <c r="Q33" i="34"/>
  <c r="G114" i="29"/>
  <c r="G92" i="29"/>
  <c r="G43" i="29"/>
  <c r="I43" i="29" s="1"/>
  <c r="U25" i="25"/>
  <c r="E17" i="19"/>
  <c r="F17" i="19" s="1"/>
  <c r="I93" i="1"/>
  <c r="D22" i="40" s="1"/>
  <c r="E22" i="40" s="1"/>
  <c r="E18" i="19"/>
  <c r="F18" i="19" s="1"/>
  <c r="E19" i="19"/>
  <c r="F19" i="19" s="1"/>
  <c r="I87" i="1"/>
  <c r="A21" i="2"/>
  <c r="D11" i="17"/>
  <c r="D123" i="1"/>
  <c r="D135" i="1" s="1"/>
  <c r="D138" i="1" s="1"/>
  <c r="G112" i="1"/>
  <c r="I112" i="1" s="1"/>
  <c r="M13" i="3"/>
  <c r="O13" i="3" s="1"/>
  <c r="M17" i="3"/>
  <c r="O17" i="3" s="1"/>
  <c r="Q31" i="13"/>
  <c r="G48" i="1"/>
  <c r="I48" i="1" s="1"/>
  <c r="I49" i="1" s="1"/>
  <c r="G91" i="1"/>
  <c r="I91" i="1" s="1"/>
  <c r="G95" i="1"/>
  <c r="I95" i="1" s="1"/>
  <c r="Q33" i="13"/>
  <c r="G104" i="1"/>
  <c r="I104" i="1" s="1"/>
  <c r="I108" i="1" s="1"/>
  <c r="G94" i="1"/>
  <c r="I94" i="1" s="1"/>
  <c r="G111" i="1"/>
  <c r="I111" i="1" s="1"/>
  <c r="G41" i="1"/>
  <c r="I41" i="1" s="1"/>
  <c r="G90" i="1"/>
  <c r="I90" i="1" s="1"/>
  <c r="I53" i="1"/>
  <c r="A40" i="3"/>
  <c r="A41" i="3" s="1"/>
  <c r="E42" i="3" s="1"/>
  <c r="B115" i="27" l="1"/>
  <c r="A62" i="6"/>
  <c r="A63" i="6" s="1"/>
  <c r="A64" i="6" s="1"/>
  <c r="A65" i="6" s="1"/>
  <c r="A66" i="6" s="1"/>
  <c r="A67" i="6" s="1"/>
  <c r="A68" i="6" s="1"/>
  <c r="A69" i="6" s="1"/>
  <c r="A70" i="6" s="1"/>
  <c r="A71" i="6" s="1"/>
  <c r="A72" i="6" s="1"/>
  <c r="A73" i="6" s="1"/>
  <c r="A74" i="6" s="1"/>
  <c r="A75" i="6" s="1"/>
  <c r="C48" i="1" s="1"/>
  <c r="B53" i="3"/>
  <c r="A24" i="1"/>
  <c r="A27" i="1" s="1"/>
  <c r="V29" i="25"/>
  <c r="V37" i="25" s="1"/>
  <c r="AB29" i="25"/>
  <c r="AB37" i="25" s="1"/>
  <c r="R29" i="25"/>
  <c r="R37" i="25" s="1"/>
  <c r="R131" i="24" s="1"/>
  <c r="W29" i="25"/>
  <c r="W37" i="25" s="1"/>
  <c r="AA29" i="25"/>
  <c r="AA37" i="25" s="1"/>
  <c r="X29" i="25"/>
  <c r="X37" i="25" s="1"/>
  <c r="S29" i="25"/>
  <c r="S37" i="25" s="1"/>
  <c r="Y29" i="25"/>
  <c r="Y37" i="25" s="1"/>
  <c r="T29" i="25"/>
  <c r="T37" i="25" s="1"/>
  <c r="AC29" i="25"/>
  <c r="AC37" i="25" s="1"/>
  <c r="U29" i="25"/>
  <c r="U37" i="25" s="1"/>
  <c r="U43" i="25" s="1"/>
  <c r="Z29" i="25"/>
  <c r="Z37" i="25" s="1"/>
  <c r="V35" i="12"/>
  <c r="I66" i="1" s="1"/>
  <c r="I68" i="29" s="1"/>
  <c r="K15" i="31"/>
  <c r="L14" i="31"/>
  <c r="T31" i="34"/>
  <c r="S31" i="34"/>
  <c r="V31" i="34"/>
  <c r="R31" i="34"/>
  <c r="U31" i="34"/>
  <c r="W31" i="34"/>
  <c r="X31" i="34"/>
  <c r="Y31" i="34"/>
  <c r="Z31" i="34"/>
  <c r="AA31" i="34"/>
  <c r="AB31" i="34"/>
  <c r="AC31" i="34"/>
  <c r="AD31" i="34"/>
  <c r="V33" i="34"/>
  <c r="T33" i="34"/>
  <c r="R33" i="34"/>
  <c r="U33" i="34"/>
  <c r="S33" i="34"/>
  <c r="W33" i="34"/>
  <c r="X33" i="34"/>
  <c r="Y33" i="34"/>
  <c r="Z33" i="34"/>
  <c r="AA33" i="34"/>
  <c r="AB33" i="34"/>
  <c r="AC33" i="34"/>
  <c r="AD33" i="34"/>
  <c r="AD37" i="25"/>
  <c r="U29" i="35"/>
  <c r="U37" i="35" s="1"/>
  <c r="U43" i="35" s="1"/>
  <c r="S29" i="35"/>
  <c r="S37" i="35" s="1"/>
  <c r="V29" i="35"/>
  <c r="V37" i="35" s="1"/>
  <c r="V43" i="35" s="1"/>
  <c r="T29" i="35"/>
  <c r="T37" i="35" s="1"/>
  <c r="T43" i="35" s="1"/>
  <c r="W29" i="35"/>
  <c r="W37" i="35" s="1"/>
  <c r="W43" i="35" s="1"/>
  <c r="X29" i="35"/>
  <c r="X37" i="35" s="1"/>
  <c r="X43" i="35" s="1"/>
  <c r="Y29" i="35"/>
  <c r="Y37" i="35" s="1"/>
  <c r="Y43" i="35" s="1"/>
  <c r="Z29" i="35"/>
  <c r="Z37" i="35" s="1"/>
  <c r="Z43" i="35" s="1"/>
  <c r="AA29" i="35"/>
  <c r="AA37" i="35" s="1"/>
  <c r="AA43" i="35" s="1"/>
  <c r="AB29" i="35"/>
  <c r="AB37" i="35" s="1"/>
  <c r="AB43" i="35" s="1"/>
  <c r="AC29" i="35"/>
  <c r="AC37" i="35" s="1"/>
  <c r="AC43" i="35" s="1"/>
  <c r="AD29" i="35"/>
  <c r="AD37" i="35" s="1"/>
  <c r="AD43" i="35" s="1"/>
  <c r="AE29" i="35"/>
  <c r="W25" i="25"/>
  <c r="S25" i="25"/>
  <c r="X25" i="25"/>
  <c r="T25" i="25"/>
  <c r="R25" i="25"/>
  <c r="Y25" i="25"/>
  <c r="AA25" i="25"/>
  <c r="Z25" i="25"/>
  <c r="V25" i="25"/>
  <c r="I57" i="29"/>
  <c r="AC25" i="25"/>
  <c r="I44" i="29"/>
  <c r="F17" i="44" s="1"/>
  <c r="F20" i="44" s="1"/>
  <c r="AB25" i="25"/>
  <c r="W31" i="13"/>
  <c r="X31" i="13"/>
  <c r="Z31" i="13"/>
  <c r="Y31" i="13"/>
  <c r="R31" i="13"/>
  <c r="S31" i="13"/>
  <c r="AA31" i="13"/>
  <c r="T31" i="13"/>
  <c r="AB31" i="13"/>
  <c r="V31" i="13"/>
  <c r="AD31" i="13"/>
  <c r="U31" i="13"/>
  <c r="AC31" i="13"/>
  <c r="U33" i="13"/>
  <c r="V33" i="13"/>
  <c r="AD33" i="13"/>
  <c r="W33" i="13"/>
  <c r="X33" i="13"/>
  <c r="Y33" i="13"/>
  <c r="R33" i="13"/>
  <c r="Z33" i="13"/>
  <c r="T33" i="13"/>
  <c r="AB33" i="13"/>
  <c r="AC33" i="13"/>
  <c r="AA33" i="13"/>
  <c r="S33" i="13"/>
  <c r="A22" i="2"/>
  <c r="E11" i="17"/>
  <c r="D125" i="1"/>
  <c r="O21" i="3"/>
  <c r="O46" i="3" s="1"/>
  <c r="I42" i="1"/>
  <c r="F17" i="4" s="1"/>
  <c r="F20" i="4" s="1"/>
  <c r="I55" i="1"/>
  <c r="I56" i="1" s="1"/>
  <c r="A42" i="3"/>
  <c r="A44" i="3" l="1"/>
  <c r="C19" i="1" s="1"/>
  <c r="C18" i="1"/>
  <c r="C27" i="1"/>
  <c r="W43" i="25"/>
  <c r="S43" i="25"/>
  <c r="X43" i="25"/>
  <c r="T43" i="25"/>
  <c r="Z43" i="25"/>
  <c r="AB43" i="25"/>
  <c r="AC43" i="25"/>
  <c r="V43" i="25"/>
  <c r="AA43" i="25"/>
  <c r="Y43" i="25"/>
  <c r="R43" i="25"/>
  <c r="L131" i="33"/>
  <c r="S43" i="35"/>
  <c r="C46" i="1"/>
  <c r="C45" i="1"/>
  <c r="C47" i="1"/>
  <c r="C29" i="1"/>
  <c r="A28" i="1"/>
  <c r="A29" i="1" s="1"/>
  <c r="C28" i="1"/>
  <c r="AE29" i="25"/>
  <c r="AE37" i="25" s="1"/>
  <c r="AE43" i="25" s="1"/>
  <c r="AA44" i="34"/>
  <c r="K16" i="31"/>
  <c r="L15" i="31"/>
  <c r="I17" i="1"/>
  <c r="I20" i="1" s="1"/>
  <c r="T44" i="34"/>
  <c r="Z44" i="34"/>
  <c r="AD44" i="34"/>
  <c r="L30" i="33" s="1"/>
  <c r="U44" i="34"/>
  <c r="AC44" i="34"/>
  <c r="AB44" i="34"/>
  <c r="V44" i="34"/>
  <c r="R132" i="24"/>
  <c r="R133" i="24" s="1"/>
  <c r="R44" i="34"/>
  <c r="L29" i="33" s="1"/>
  <c r="S44" i="34"/>
  <c r="AF29" i="35"/>
  <c r="AF37" i="35" s="1"/>
  <c r="AF43" i="35" s="1"/>
  <c r="AE37" i="35"/>
  <c r="G78" i="29"/>
  <c r="I78" i="29" s="1"/>
  <c r="G117" i="29"/>
  <c r="G94" i="29"/>
  <c r="X44" i="34"/>
  <c r="Y44" i="34"/>
  <c r="R106" i="24"/>
  <c r="W44" i="34"/>
  <c r="AD25" i="25"/>
  <c r="AD43" i="25" s="1"/>
  <c r="AD44" i="13"/>
  <c r="F23" i="4"/>
  <c r="F26" i="4" s="1"/>
  <c r="R44" i="13"/>
  <c r="D142" i="1"/>
  <c r="D14" i="1" s="1"/>
  <c r="D22" i="1" s="1"/>
  <c r="A23" i="2"/>
  <c r="F11" i="17"/>
  <c r="G115" i="1"/>
  <c r="I115" i="1" s="1"/>
  <c r="G92" i="1"/>
  <c r="I92" i="1" s="1"/>
  <c r="I96" i="1" s="1"/>
  <c r="G75" i="1"/>
  <c r="I75" i="1" s="1"/>
  <c r="G76" i="1"/>
  <c r="I76" i="1" s="1"/>
  <c r="L132" i="33" l="1"/>
  <c r="L133" i="33" s="1"/>
  <c r="AE43" i="35"/>
  <c r="Q32" i="13"/>
  <c r="R32" i="13" s="1"/>
  <c r="E13" i="19"/>
  <c r="F13" i="19" s="1"/>
  <c r="F22" i="19" s="1"/>
  <c r="Q31" i="25"/>
  <c r="Q24" i="13"/>
  <c r="Q18" i="13"/>
  <c r="Q34" i="13"/>
  <c r="C30" i="1"/>
  <c r="C31" i="1"/>
  <c r="A30" i="1"/>
  <c r="C32" i="1" s="1"/>
  <c r="I17" i="29"/>
  <c r="I20" i="29" s="1"/>
  <c r="K17" i="31"/>
  <c r="L16" i="31"/>
  <c r="R29" i="24"/>
  <c r="Q14" i="25"/>
  <c r="Q28" i="25"/>
  <c r="Q13" i="25"/>
  <c r="R30" i="24"/>
  <c r="R107" i="24"/>
  <c r="R108" i="24" s="1"/>
  <c r="L108" i="33"/>
  <c r="Q54" i="13"/>
  <c r="Y54" i="13" s="1"/>
  <c r="Q66" i="13"/>
  <c r="U66" i="13" s="1"/>
  <c r="U79" i="13" s="1"/>
  <c r="Q29" i="13"/>
  <c r="U29" i="13" s="1"/>
  <c r="Q50" i="13"/>
  <c r="W50" i="13" s="1"/>
  <c r="Q28" i="13"/>
  <c r="Y28" i="13" s="1"/>
  <c r="Q17" i="13"/>
  <c r="Q20" i="13"/>
  <c r="S20" i="13" s="1"/>
  <c r="E30" i="19"/>
  <c r="F30" i="19" s="1"/>
  <c r="Q53" i="13"/>
  <c r="X53" i="13" s="1"/>
  <c r="Q27" i="13"/>
  <c r="AB27" i="13" s="1"/>
  <c r="AB44" i="13" s="1"/>
  <c r="E24" i="19"/>
  <c r="F24" i="19" s="1"/>
  <c r="Q15" i="25"/>
  <c r="S15" i="25" s="1"/>
  <c r="G113" i="1"/>
  <c r="I113" i="1" s="1"/>
  <c r="I116" i="1" s="1"/>
  <c r="Q18" i="25"/>
  <c r="Y18" i="25" s="1"/>
  <c r="Q16" i="25"/>
  <c r="U16" i="25" s="1"/>
  <c r="Q51" i="13"/>
  <c r="Y51" i="13" s="1"/>
  <c r="I100" i="1"/>
  <c r="A24" i="2"/>
  <c r="H11" i="17"/>
  <c r="A46" i="3" l="1"/>
  <c r="E46" i="3"/>
  <c r="U32" i="13"/>
  <c r="AD32" i="13"/>
  <c r="AB32" i="13"/>
  <c r="AC32" i="13"/>
  <c r="AA32" i="13"/>
  <c r="S32" i="13"/>
  <c r="Y32" i="13"/>
  <c r="Z32" i="13"/>
  <c r="W32" i="13"/>
  <c r="X32" i="13"/>
  <c r="T32" i="13"/>
  <c r="V32" i="13"/>
  <c r="S24" i="13"/>
  <c r="W24" i="13"/>
  <c r="AD24" i="13"/>
  <c r="AA24" i="13"/>
  <c r="Y24" i="13"/>
  <c r="Z24" i="13"/>
  <c r="T24" i="13"/>
  <c r="X24" i="13"/>
  <c r="AB24" i="13"/>
  <c r="U24" i="13"/>
  <c r="AC24" i="13"/>
  <c r="R24" i="13"/>
  <c r="V24" i="13"/>
  <c r="AC31" i="25"/>
  <c r="Y31" i="25"/>
  <c r="S31" i="25"/>
  <c r="U31" i="25"/>
  <c r="Z31" i="25"/>
  <c r="X31" i="25"/>
  <c r="T31" i="25"/>
  <c r="AB31" i="25"/>
  <c r="AA31" i="25"/>
  <c r="V31" i="25"/>
  <c r="AD31" i="25"/>
  <c r="R31" i="25"/>
  <c r="W31" i="25"/>
  <c r="S18" i="13"/>
  <c r="T18" i="13"/>
  <c r="AB18" i="13"/>
  <c r="Y18" i="13"/>
  <c r="X18" i="13"/>
  <c r="U18" i="13"/>
  <c r="AC18" i="13"/>
  <c r="R18" i="13"/>
  <c r="Z18" i="13"/>
  <c r="AD18" i="13"/>
  <c r="V18" i="13"/>
  <c r="AA18" i="13"/>
  <c r="W18" i="13"/>
  <c r="AB34" i="13"/>
  <c r="U34" i="13"/>
  <c r="S34" i="13"/>
  <c r="Y34" i="13"/>
  <c r="AC34" i="13"/>
  <c r="AA34" i="13"/>
  <c r="W34" i="13"/>
  <c r="AD34" i="13"/>
  <c r="V34" i="13"/>
  <c r="R34" i="13"/>
  <c r="T34" i="13"/>
  <c r="X34" i="13"/>
  <c r="Z34" i="13"/>
  <c r="A31" i="1"/>
  <c r="C33" i="1" s="1"/>
  <c r="R31" i="24"/>
  <c r="K18" i="31"/>
  <c r="L17" i="31"/>
  <c r="W13" i="25"/>
  <c r="Z13" i="25"/>
  <c r="AD13" i="25"/>
  <c r="V13" i="25"/>
  <c r="S13" i="25"/>
  <c r="AA13" i="25"/>
  <c r="R13" i="25"/>
  <c r="T13" i="25"/>
  <c r="X13" i="25"/>
  <c r="AB13" i="25"/>
  <c r="AC13" i="25"/>
  <c r="Y13" i="25"/>
  <c r="U13" i="25"/>
  <c r="AB28" i="25"/>
  <c r="R28" i="25"/>
  <c r="W28" i="25"/>
  <c r="Y28" i="25"/>
  <c r="Z28" i="25"/>
  <c r="U28" i="25"/>
  <c r="S28" i="25"/>
  <c r="AC28" i="25"/>
  <c r="AA28" i="25"/>
  <c r="V28" i="25"/>
  <c r="T28" i="25"/>
  <c r="AD28" i="25"/>
  <c r="X28" i="25"/>
  <c r="X14" i="25"/>
  <c r="S14" i="25"/>
  <c r="AC14" i="25"/>
  <c r="AA14" i="25"/>
  <c r="T14" i="25"/>
  <c r="R14" i="25"/>
  <c r="AD14" i="25"/>
  <c r="AB14" i="25"/>
  <c r="U14" i="25"/>
  <c r="Y14" i="25"/>
  <c r="V14" i="25"/>
  <c r="Z14" i="25"/>
  <c r="W14" i="25"/>
  <c r="L31" i="33"/>
  <c r="V29" i="13"/>
  <c r="X51" i="13"/>
  <c r="Y29" i="13"/>
  <c r="V51" i="13"/>
  <c r="AA29" i="13"/>
  <c r="R27" i="13"/>
  <c r="AD50" i="13"/>
  <c r="X27" i="13"/>
  <c r="T29" i="13"/>
  <c r="R29" i="13"/>
  <c r="AB54" i="13"/>
  <c r="W53" i="13"/>
  <c r="Y27" i="13"/>
  <c r="W27" i="13"/>
  <c r="AC27" i="13"/>
  <c r="Y50" i="13"/>
  <c r="S27" i="13"/>
  <c r="X50" i="13"/>
  <c r="AC29" i="13"/>
  <c r="S54" i="13"/>
  <c r="Z53" i="13"/>
  <c r="V16" i="25"/>
  <c r="AD16" i="25"/>
  <c r="AB29" i="13"/>
  <c r="Z54" i="13"/>
  <c r="R53" i="13"/>
  <c r="W29" i="13"/>
  <c r="S29" i="13"/>
  <c r="X29" i="13"/>
  <c r="U54" i="13"/>
  <c r="X16" i="25"/>
  <c r="AC50" i="13"/>
  <c r="S50" i="13"/>
  <c r="AA27" i="13"/>
  <c r="R66" i="13"/>
  <c r="V50" i="13"/>
  <c r="V27" i="13"/>
  <c r="R50" i="13"/>
  <c r="AB50" i="13"/>
  <c r="U27" i="13"/>
  <c r="Z50" i="13"/>
  <c r="T50" i="13"/>
  <c r="T27" i="13"/>
  <c r="AD66" i="13"/>
  <c r="AB20" i="13"/>
  <c r="Y20" i="13"/>
  <c r="AD29" i="13"/>
  <c r="Z29" i="13"/>
  <c r="X54" i="13"/>
  <c r="U53" i="13"/>
  <c r="AB18" i="25"/>
  <c r="AA20" i="13"/>
  <c r="AD53" i="13"/>
  <c r="AC18" i="25"/>
  <c r="T20" i="13"/>
  <c r="X20" i="13"/>
  <c r="T18" i="25"/>
  <c r="Z20" i="13"/>
  <c r="R20" i="13"/>
  <c r="AC20" i="13"/>
  <c r="W20" i="13"/>
  <c r="AD54" i="13"/>
  <c r="AA53" i="13"/>
  <c r="S18" i="25"/>
  <c r="W18" i="25" s="1"/>
  <c r="U20" i="13"/>
  <c r="AD20" i="13"/>
  <c r="V54" i="13"/>
  <c r="S53" i="13"/>
  <c r="AA16" i="25"/>
  <c r="V20" i="13"/>
  <c r="AB51" i="13"/>
  <c r="W51" i="13"/>
  <c r="S66" i="13"/>
  <c r="T66" i="13"/>
  <c r="T54" i="13"/>
  <c r="AB53" i="13"/>
  <c r="V53" i="13"/>
  <c r="T51" i="13"/>
  <c r="AC16" i="25"/>
  <c r="S16" i="25"/>
  <c r="W16" i="25" s="1"/>
  <c r="W66" i="13"/>
  <c r="Z66" i="13"/>
  <c r="AA54" i="13"/>
  <c r="AA50" i="13"/>
  <c r="U50" i="13"/>
  <c r="AD27" i="13"/>
  <c r="T53" i="13"/>
  <c r="AC53" i="13"/>
  <c r="AA51" i="13"/>
  <c r="AB16" i="25"/>
  <c r="R16" i="25"/>
  <c r="X66" i="13"/>
  <c r="X18" i="25"/>
  <c r="S51" i="13"/>
  <c r="AC66" i="13"/>
  <c r="AC51" i="13"/>
  <c r="Z51" i="13"/>
  <c r="Z16" i="25"/>
  <c r="T16" i="25"/>
  <c r="Y66" i="13"/>
  <c r="W54" i="13"/>
  <c r="R54" i="13"/>
  <c r="Y53" i="13"/>
  <c r="U51" i="13"/>
  <c r="R51" i="13"/>
  <c r="Y16" i="25"/>
  <c r="V66" i="13"/>
  <c r="AB66" i="13"/>
  <c r="R18" i="25"/>
  <c r="AC54" i="13"/>
  <c r="Z27" i="13"/>
  <c r="Z44" i="13" s="1"/>
  <c r="AD51" i="13"/>
  <c r="AA66" i="13"/>
  <c r="U18" i="25"/>
  <c r="AB28" i="13"/>
  <c r="X28" i="13"/>
  <c r="Z15" i="25"/>
  <c r="T15" i="25"/>
  <c r="W17" i="13"/>
  <c r="T17" i="13"/>
  <c r="X17" i="13"/>
  <c r="AC17" i="13"/>
  <c r="U17" i="13"/>
  <c r="AD17" i="13"/>
  <c r="Z17" i="13"/>
  <c r="AB17" i="13"/>
  <c r="Y17" i="13"/>
  <c r="R17" i="13"/>
  <c r="AA17" i="13"/>
  <c r="S17" i="13"/>
  <c r="V17" i="13"/>
  <c r="AC28" i="13"/>
  <c r="AA28" i="13"/>
  <c r="V28" i="13"/>
  <c r="R15" i="25"/>
  <c r="AA18" i="25"/>
  <c r="V18" i="25"/>
  <c r="Y15" i="25"/>
  <c r="U28" i="13"/>
  <c r="S28" i="13"/>
  <c r="V15" i="25"/>
  <c r="Z18" i="25"/>
  <c r="AD18" i="25"/>
  <c r="W28" i="13"/>
  <c r="AD28" i="13"/>
  <c r="X15" i="25"/>
  <c r="Z28" i="13"/>
  <c r="AC15" i="25"/>
  <c r="AD15" i="25"/>
  <c r="R28" i="13"/>
  <c r="AB15" i="25"/>
  <c r="U15" i="25"/>
  <c r="T28" i="13"/>
  <c r="AA15" i="25"/>
  <c r="W15" i="25"/>
  <c r="U81" i="13"/>
  <c r="U77" i="13"/>
  <c r="T44" i="13"/>
  <c r="X44" i="13"/>
  <c r="AA44" i="13"/>
  <c r="W44" i="13"/>
  <c r="S44" i="13"/>
  <c r="V44" i="13"/>
  <c r="AC44" i="13"/>
  <c r="Y44" i="13"/>
  <c r="U44" i="13"/>
  <c r="I73" i="1"/>
  <c r="I77" i="1" s="1"/>
  <c r="F26" i="19"/>
  <c r="F28" i="19" s="1"/>
  <c r="A27" i="2"/>
  <c r="W33" i="25" l="1"/>
  <c r="AA33" i="25"/>
  <c r="AE31" i="25"/>
  <c r="A32" i="1"/>
  <c r="A33" i="1" s="1"/>
  <c r="A38" i="1" s="1"/>
  <c r="Y59" i="13"/>
  <c r="K19" i="31"/>
  <c r="L18" i="31"/>
  <c r="AC81" i="13"/>
  <c r="AC79" i="13"/>
  <c r="AE13" i="25"/>
  <c r="AD23" i="25"/>
  <c r="AB77" i="13"/>
  <c r="AB79" i="13"/>
  <c r="AE28" i="25"/>
  <c r="S81" i="13"/>
  <c r="S79" i="13"/>
  <c r="V81" i="13"/>
  <c r="V79" i="13"/>
  <c r="V80" i="13" s="1"/>
  <c r="Y77" i="13"/>
  <c r="Y79" i="13"/>
  <c r="X81" i="13"/>
  <c r="X79" i="13"/>
  <c r="AD33" i="25"/>
  <c r="AD77" i="13"/>
  <c r="AD79" i="13"/>
  <c r="AA81" i="13"/>
  <c r="AA79" i="13"/>
  <c r="Z81" i="13"/>
  <c r="Z79" i="13"/>
  <c r="R81" i="13"/>
  <c r="R79" i="13"/>
  <c r="W77" i="13"/>
  <c r="W79" i="13"/>
  <c r="T81" i="13"/>
  <c r="T79" i="13"/>
  <c r="AE14" i="25"/>
  <c r="X57" i="13"/>
  <c r="W35" i="25"/>
  <c r="T33" i="25"/>
  <c r="Z77" i="13"/>
  <c r="X59" i="13"/>
  <c r="AD35" i="25"/>
  <c r="AD81" i="13"/>
  <c r="AC40" i="13"/>
  <c r="W81" i="13"/>
  <c r="R77" i="13"/>
  <c r="AB81" i="13"/>
  <c r="S21" i="25"/>
  <c r="U40" i="13"/>
  <c r="X21" i="25"/>
  <c r="U35" i="25"/>
  <c r="S33" i="25"/>
  <c r="Y35" i="25"/>
  <c r="Y81" i="13"/>
  <c r="AA59" i="13"/>
  <c r="V33" i="25"/>
  <c r="Y23" i="25"/>
  <c r="W59" i="13"/>
  <c r="V57" i="13"/>
  <c r="S35" i="25"/>
  <c r="X33" i="25"/>
  <c r="AE16" i="25"/>
  <c r="U21" i="25"/>
  <c r="R42" i="13"/>
  <c r="AD57" i="13"/>
  <c r="R59" i="13"/>
  <c r="AA77" i="13"/>
  <c r="T35" i="25"/>
  <c r="Z33" i="25"/>
  <c r="Y42" i="13"/>
  <c r="AD59" i="13"/>
  <c r="T21" i="25"/>
  <c r="AB35" i="25"/>
  <c r="T23" i="25"/>
  <c r="AC23" i="25"/>
  <c r="V35" i="25"/>
  <c r="R35" i="25"/>
  <c r="X77" i="13"/>
  <c r="R33" i="25"/>
  <c r="Z57" i="13"/>
  <c r="X35" i="25"/>
  <c r="V77" i="13"/>
  <c r="AB23" i="25"/>
  <c r="Y40" i="13"/>
  <c r="AA35" i="25"/>
  <c r="AB33" i="25"/>
  <c r="Y33" i="25"/>
  <c r="AC77" i="13"/>
  <c r="Z40" i="13"/>
  <c r="V40" i="13"/>
  <c r="U42" i="13"/>
  <c r="AB42" i="13"/>
  <c r="T57" i="13"/>
  <c r="S59" i="13"/>
  <c r="AA23" i="25"/>
  <c r="S40" i="13"/>
  <c r="AC42" i="13"/>
  <c r="R23" i="25"/>
  <c r="AC21" i="25"/>
  <c r="W57" i="13"/>
  <c r="T42" i="13"/>
  <c r="R57" i="13"/>
  <c r="AC33" i="25"/>
  <c r="U59" i="13"/>
  <c r="AB59" i="13"/>
  <c r="Z35" i="25"/>
  <c r="AA57" i="13"/>
  <c r="S23" i="25"/>
  <c r="T59" i="13"/>
  <c r="Z42" i="13"/>
  <c r="X23" i="25"/>
  <c r="W40" i="13"/>
  <c r="V59" i="13"/>
  <c r="AB57" i="13"/>
  <c r="S42" i="13"/>
  <c r="Z59" i="13"/>
  <c r="U23" i="25"/>
  <c r="U33" i="25"/>
  <c r="Y21" i="25"/>
  <c r="AC59" i="13"/>
  <c r="U57" i="13"/>
  <c r="Y57" i="13"/>
  <c r="R40" i="13"/>
  <c r="AC57" i="13"/>
  <c r="S77" i="13"/>
  <c r="Z23" i="25"/>
  <c r="S57" i="13"/>
  <c r="AA42" i="13"/>
  <c r="AB40" i="13"/>
  <c r="V42" i="13"/>
  <c r="Z21" i="25"/>
  <c r="AC35" i="25"/>
  <c r="AA21" i="25"/>
  <c r="T77" i="13"/>
  <c r="AE18" i="25"/>
  <c r="R21" i="25"/>
  <c r="W42" i="13"/>
  <c r="AD40" i="13"/>
  <c r="V21" i="25"/>
  <c r="X40" i="13"/>
  <c r="AE15" i="25"/>
  <c r="T40" i="13"/>
  <c r="AD42" i="13"/>
  <c r="AA40" i="13"/>
  <c r="AD21" i="25"/>
  <c r="X42" i="13"/>
  <c r="V23" i="25"/>
  <c r="AB21" i="25"/>
  <c r="W23" i="25"/>
  <c r="W21" i="25"/>
  <c r="W39" i="25" s="1"/>
  <c r="F32" i="19"/>
  <c r="I132" i="1" s="1"/>
  <c r="A28" i="2"/>
  <c r="E41" i="17"/>
  <c r="U83" i="13" l="1"/>
  <c r="Y39" i="25"/>
  <c r="AE35" i="25"/>
  <c r="AA39" i="25"/>
  <c r="C40" i="29"/>
  <c r="A39" i="1"/>
  <c r="Y60" i="13"/>
  <c r="AD80" i="13"/>
  <c r="Z60" i="13"/>
  <c r="AE33" i="25"/>
  <c r="W80" i="13"/>
  <c r="K20" i="31"/>
  <c r="L19" i="31"/>
  <c r="AB80" i="13"/>
  <c r="Y80" i="13"/>
  <c r="W36" i="25"/>
  <c r="AA80" i="13"/>
  <c r="T80" i="13"/>
  <c r="U80" i="13"/>
  <c r="R63" i="24"/>
  <c r="R79" i="24"/>
  <c r="AE23" i="25"/>
  <c r="R115" i="24"/>
  <c r="Z80" i="13"/>
  <c r="AC80" i="13"/>
  <c r="R80" i="24"/>
  <c r="S80" i="13"/>
  <c r="R38" i="24"/>
  <c r="AD39" i="25"/>
  <c r="X80" i="13"/>
  <c r="R90" i="24"/>
  <c r="R13" i="24"/>
  <c r="T39" i="25"/>
  <c r="S24" i="25"/>
  <c r="S41" i="25"/>
  <c r="X36" i="25"/>
  <c r="W41" i="25"/>
  <c r="X60" i="13"/>
  <c r="AD41" i="25"/>
  <c r="V83" i="13"/>
  <c r="U39" i="25"/>
  <c r="AD36" i="25"/>
  <c r="X39" i="25"/>
  <c r="W60" i="13"/>
  <c r="S60" i="13"/>
  <c r="S39" i="25"/>
  <c r="AC43" i="13"/>
  <c r="Y41" i="25"/>
  <c r="Z39" i="25"/>
  <c r="V36" i="25"/>
  <c r="AA60" i="13"/>
  <c r="V39" i="25"/>
  <c r="Y36" i="25"/>
  <c r="S43" i="13"/>
  <c r="R39" i="25"/>
  <c r="AD83" i="13"/>
  <c r="Z36" i="25"/>
  <c r="Z24" i="25"/>
  <c r="AB60" i="13"/>
  <c r="AA83" i="13"/>
  <c r="Y24" i="25"/>
  <c r="U24" i="25"/>
  <c r="S36" i="25"/>
  <c r="U43" i="13"/>
  <c r="AA41" i="25"/>
  <c r="T36" i="25"/>
  <c r="AB36" i="25"/>
  <c r="Z41" i="25"/>
  <c r="T60" i="13"/>
  <c r="R83" i="13"/>
  <c r="AB24" i="25"/>
  <c r="AC41" i="25"/>
  <c r="AA24" i="25"/>
  <c r="U36" i="25"/>
  <c r="V43" i="13"/>
  <c r="AB41" i="25"/>
  <c r="AC36" i="25"/>
  <c r="AC39" i="25"/>
  <c r="AC83" i="13"/>
  <c r="AC24" i="25"/>
  <c r="T41" i="25"/>
  <c r="T43" i="13"/>
  <c r="U41" i="25"/>
  <c r="Y83" i="13"/>
  <c r="AB83" i="13"/>
  <c r="AA36" i="25"/>
  <c r="V24" i="25"/>
  <c r="W83" i="13"/>
  <c r="U60" i="13"/>
  <c r="Z83" i="13"/>
  <c r="S83" i="13"/>
  <c r="T24" i="25"/>
  <c r="X83" i="13"/>
  <c r="Z43" i="13"/>
  <c r="AC60" i="13"/>
  <c r="V60" i="13"/>
  <c r="AB39" i="25"/>
  <c r="AD43" i="13"/>
  <c r="AD60" i="13"/>
  <c r="R41" i="25"/>
  <c r="W43" i="13"/>
  <c r="AA43" i="13"/>
  <c r="X41" i="25"/>
  <c r="AE21" i="25"/>
  <c r="AD24" i="25"/>
  <c r="AB43" i="13"/>
  <c r="X43" i="13"/>
  <c r="Y43" i="13"/>
  <c r="T83" i="13"/>
  <c r="V41" i="25"/>
  <c r="X24" i="25"/>
  <c r="W24" i="25"/>
  <c r="A29" i="2"/>
  <c r="E42" i="17"/>
  <c r="AE41" i="25" l="1"/>
  <c r="AE42" i="25" s="1"/>
  <c r="AE39" i="25"/>
  <c r="I131" i="1" s="1"/>
  <c r="I136" i="1" s="1"/>
  <c r="C30" i="4"/>
  <c r="A40" i="1"/>
  <c r="R81" i="24"/>
  <c r="K21" i="31"/>
  <c r="L20" i="31"/>
  <c r="T42" i="25"/>
  <c r="M64" i="24" a="1"/>
  <c r="L81" i="33"/>
  <c r="I137" i="1"/>
  <c r="I134" i="29"/>
  <c r="I139" i="29" s="1"/>
  <c r="M91" i="24" a="1"/>
  <c r="M116" i="24" a="1"/>
  <c r="M14" i="24" a="1"/>
  <c r="M16" i="24" s="1"/>
  <c r="AD42" i="25"/>
  <c r="X42" i="25"/>
  <c r="Z42" i="25"/>
  <c r="AA42" i="25"/>
  <c r="V42" i="25"/>
  <c r="AB42" i="25"/>
  <c r="AC42" i="25"/>
  <c r="M39" i="24" a="1"/>
  <c r="M41" i="24" s="1"/>
  <c r="Y42" i="25"/>
  <c r="U42" i="25"/>
  <c r="S42" i="25"/>
  <c r="W42" i="25"/>
  <c r="E43" i="17"/>
  <c r="A30" i="2"/>
  <c r="C42" i="29" l="1"/>
  <c r="A41" i="1"/>
  <c r="K22" i="31"/>
  <c r="L21" i="31"/>
  <c r="M67" i="24"/>
  <c r="M64" i="24"/>
  <c r="M66" i="24"/>
  <c r="M65" i="24"/>
  <c r="M68" i="24"/>
  <c r="M75" i="24"/>
  <c r="M74" i="24"/>
  <c r="M73" i="24"/>
  <c r="M69" i="24"/>
  <c r="M70" i="24"/>
  <c r="M71" i="24"/>
  <c r="M72" i="24"/>
  <c r="M116" i="24"/>
  <c r="M119" i="24"/>
  <c r="M124" i="24"/>
  <c r="M126" i="24"/>
  <c r="M118" i="24"/>
  <c r="M121" i="24"/>
  <c r="M122" i="24"/>
  <c r="M125" i="24"/>
  <c r="M120" i="24"/>
  <c r="M123" i="24"/>
  <c r="M127" i="24"/>
  <c r="M117" i="24"/>
  <c r="M91" i="24"/>
  <c r="M101" i="24"/>
  <c r="M93" i="24"/>
  <c r="M94" i="24"/>
  <c r="M98" i="24"/>
  <c r="M100" i="24"/>
  <c r="M97" i="24"/>
  <c r="M96" i="24"/>
  <c r="M102" i="24"/>
  <c r="M92" i="24"/>
  <c r="M99" i="24"/>
  <c r="M95" i="24"/>
  <c r="M21" i="24"/>
  <c r="N21" i="24" s="1"/>
  <c r="O21" i="24" s="1"/>
  <c r="P21" i="24" s="1"/>
  <c r="M23" i="24"/>
  <c r="Q23" i="24" s="1"/>
  <c r="M20" i="24"/>
  <c r="N20" i="24" s="1"/>
  <c r="O20" i="24" s="1"/>
  <c r="P20" i="24" s="1"/>
  <c r="M14" i="24"/>
  <c r="N14" i="24" s="1"/>
  <c r="O14" i="24" s="1"/>
  <c r="P14" i="24" s="1"/>
  <c r="M15" i="24"/>
  <c r="N15" i="24" s="1"/>
  <c r="O15" i="24" s="1"/>
  <c r="P15" i="24" s="1"/>
  <c r="M24" i="24"/>
  <c r="Q24" i="24" s="1"/>
  <c r="M18" i="24"/>
  <c r="N18" i="24" s="1"/>
  <c r="O18" i="24" s="1"/>
  <c r="P18" i="24" s="1"/>
  <c r="M17" i="24"/>
  <c r="N17" i="24" s="1"/>
  <c r="O17" i="24" s="1"/>
  <c r="P17" i="24" s="1"/>
  <c r="M25" i="24"/>
  <c r="Q25" i="24" s="1"/>
  <c r="M22" i="24"/>
  <c r="Q22" i="24" s="1"/>
  <c r="M19" i="24"/>
  <c r="N19" i="24" s="1"/>
  <c r="O19" i="24" s="1"/>
  <c r="P19" i="24" s="1"/>
  <c r="Q16" i="24"/>
  <c r="N16" i="24"/>
  <c r="O16" i="24" s="1"/>
  <c r="P16" i="24" s="1"/>
  <c r="O41" i="24"/>
  <c r="N41" i="24"/>
  <c r="P41" i="24"/>
  <c r="Q41" i="24"/>
  <c r="M50" i="24"/>
  <c r="M44" i="24"/>
  <c r="M45" i="24"/>
  <c r="M40" i="24"/>
  <c r="M43" i="24"/>
  <c r="M42" i="24"/>
  <c r="M48" i="24"/>
  <c r="M47" i="24"/>
  <c r="M49" i="24"/>
  <c r="M46" i="24"/>
  <c r="M39" i="24"/>
  <c r="A31" i="2"/>
  <c r="E44" i="17"/>
  <c r="Q14" i="24" l="1"/>
  <c r="C42" i="1"/>
  <c r="C43" i="29"/>
  <c r="A42" i="1"/>
  <c r="N22" i="24"/>
  <c r="O22" i="24" s="1"/>
  <c r="P22" i="24" s="1"/>
  <c r="N25" i="24"/>
  <c r="O25" i="24" s="1"/>
  <c r="P25" i="24" s="1"/>
  <c r="K23" i="31"/>
  <c r="L22" i="31"/>
  <c r="R14" i="24"/>
  <c r="R15" i="24" s="1"/>
  <c r="R16" i="24" s="1"/>
  <c r="R17" i="24" s="1"/>
  <c r="R18" i="24" s="1"/>
  <c r="R19" i="24" s="1"/>
  <c r="R20" i="24" s="1"/>
  <c r="R21" i="24" s="1"/>
  <c r="R22" i="24" s="1"/>
  <c r="R23" i="24" s="1"/>
  <c r="R24" i="24" s="1"/>
  <c r="R25" i="24" s="1"/>
  <c r="Q75" i="24"/>
  <c r="N75" i="24"/>
  <c r="O75" i="24" s="1"/>
  <c r="P75" i="24" s="1"/>
  <c r="Q19" i="24"/>
  <c r="N68" i="24"/>
  <c r="O68" i="24" s="1"/>
  <c r="Q68" i="24"/>
  <c r="P68" i="24"/>
  <c r="Q20" i="24"/>
  <c r="N72" i="24"/>
  <c r="O72" i="24" s="1"/>
  <c r="P72" i="24" s="1"/>
  <c r="Q72" i="24"/>
  <c r="Q65" i="24"/>
  <c r="N65" i="24"/>
  <c r="O65" i="24" s="1"/>
  <c r="P65" i="24"/>
  <c r="Q66" i="24"/>
  <c r="N66" i="24"/>
  <c r="O66" i="24" s="1"/>
  <c r="P66" i="24"/>
  <c r="Q21" i="24"/>
  <c r="N70" i="24"/>
  <c r="O70" i="24" s="1"/>
  <c r="P70" i="24" s="1"/>
  <c r="Q70" i="24"/>
  <c r="Q64" i="24"/>
  <c r="N64" i="24"/>
  <c r="M76" i="24"/>
  <c r="P64" i="24"/>
  <c r="R64" i="24"/>
  <c r="R65" i="24" s="1"/>
  <c r="R66" i="24" s="1"/>
  <c r="R67" i="24" s="1"/>
  <c r="R68" i="24" s="1"/>
  <c r="R69" i="24" s="1"/>
  <c r="R70" i="24" s="1"/>
  <c r="R71" i="24" s="1"/>
  <c r="R72" i="24" s="1"/>
  <c r="R73" i="24" s="1"/>
  <c r="R74" i="24" s="1"/>
  <c r="R75" i="24" s="1"/>
  <c r="R83" i="24" s="1"/>
  <c r="R85" i="24" s="1"/>
  <c r="N71" i="24"/>
  <c r="O71" i="24" s="1"/>
  <c r="P71" i="24" s="1"/>
  <c r="Q71" i="24"/>
  <c r="N23" i="24"/>
  <c r="O23" i="24" s="1"/>
  <c r="P23" i="24" s="1"/>
  <c r="Q69" i="24"/>
  <c r="N69" i="24"/>
  <c r="O69" i="24" s="1"/>
  <c r="P69" i="24" s="1"/>
  <c r="N67" i="24"/>
  <c r="O67" i="24" s="1"/>
  <c r="Q67" i="24"/>
  <c r="P67" i="24"/>
  <c r="Q73" i="24"/>
  <c r="N73" i="24"/>
  <c r="O73" i="24" s="1"/>
  <c r="P73" i="24" s="1"/>
  <c r="Q74" i="24"/>
  <c r="N74" i="24"/>
  <c r="O74" i="24" s="1"/>
  <c r="P74" i="24" s="1"/>
  <c r="N125" i="24"/>
  <c r="Q125" i="24"/>
  <c r="O125" i="24"/>
  <c r="P125" i="24" s="1"/>
  <c r="P121" i="24"/>
  <c r="O121" i="24"/>
  <c r="Q121" i="24"/>
  <c r="N121" i="24"/>
  <c r="Q93" i="24"/>
  <c r="N93" i="24"/>
  <c r="O93" i="24" s="1"/>
  <c r="P93" i="24" s="1"/>
  <c r="Q91" i="24"/>
  <c r="N91" i="24"/>
  <c r="O91" i="24" s="1"/>
  <c r="P91" i="24" s="1"/>
  <c r="R91" i="24"/>
  <c r="R92" i="24" s="1"/>
  <c r="R93" i="24" s="1"/>
  <c r="R94" i="24" s="1"/>
  <c r="R95" i="24" s="1"/>
  <c r="R96" i="24" s="1"/>
  <c r="R97" i="24" s="1"/>
  <c r="R98" i="24" s="1"/>
  <c r="R99" i="24" s="1"/>
  <c r="R100" i="24" s="1"/>
  <c r="R101" i="24" s="1"/>
  <c r="R102" i="24" s="1"/>
  <c r="Q126" i="24"/>
  <c r="N126" i="24"/>
  <c r="O126" i="24"/>
  <c r="P126" i="24" s="1"/>
  <c r="N95" i="24"/>
  <c r="O95" i="24" s="1"/>
  <c r="P95" i="24" s="1"/>
  <c r="Q95" i="24"/>
  <c r="Q99" i="24"/>
  <c r="N99" i="24"/>
  <c r="O99" i="24" s="1"/>
  <c r="P99" i="24" s="1"/>
  <c r="Q92" i="24"/>
  <c r="N92" i="24"/>
  <c r="O92" i="24" s="1"/>
  <c r="P92" i="24" s="1"/>
  <c r="Q118" i="24"/>
  <c r="N118" i="24"/>
  <c r="O118" i="24" s="1"/>
  <c r="P118" i="24" s="1"/>
  <c r="Q97" i="24"/>
  <c r="N97" i="24"/>
  <c r="O97" i="24" s="1"/>
  <c r="P97" i="24" s="1"/>
  <c r="N127" i="24"/>
  <c r="Q127" i="24"/>
  <c r="O127" i="24"/>
  <c r="P127" i="24" s="1"/>
  <c r="Q124" i="24"/>
  <c r="N124" i="24"/>
  <c r="O124" i="24" s="1"/>
  <c r="P124" i="24" s="1"/>
  <c r="N94" i="24"/>
  <c r="O94" i="24" s="1"/>
  <c r="P94" i="24" s="1"/>
  <c r="Q94" i="24"/>
  <c r="Q101" i="24"/>
  <c r="N101" i="24"/>
  <c r="O101" i="24" s="1"/>
  <c r="P101" i="24" s="1"/>
  <c r="N96" i="24"/>
  <c r="O96" i="24" s="1"/>
  <c r="P96" i="24" s="1"/>
  <c r="Q96" i="24"/>
  <c r="Q100" i="24"/>
  <c r="N100" i="24"/>
  <c r="O100" i="24" s="1"/>
  <c r="P100" i="24" s="1"/>
  <c r="N123" i="24"/>
  <c r="O123" i="24" s="1"/>
  <c r="P123" i="24" s="1"/>
  <c r="Q123" i="24"/>
  <c r="Q119" i="24"/>
  <c r="N119" i="24"/>
  <c r="O119" i="24" s="1"/>
  <c r="P119" i="24" s="1"/>
  <c r="O122" i="24"/>
  <c r="P122" i="24" s="1"/>
  <c r="Q122" i="24"/>
  <c r="N122" i="24"/>
  <c r="N102" i="24"/>
  <c r="O102" i="24" s="1"/>
  <c r="P102" i="24" s="1"/>
  <c r="Q102" i="24"/>
  <c r="N117" i="24"/>
  <c r="O117" i="24" s="1"/>
  <c r="P117" i="24" s="1"/>
  <c r="Q117" i="24"/>
  <c r="Q98" i="24"/>
  <c r="N98" i="24"/>
  <c r="O98" i="24" s="1"/>
  <c r="P98" i="24" s="1"/>
  <c r="Q120" i="24"/>
  <c r="N120" i="24"/>
  <c r="O120" i="24" s="1"/>
  <c r="P120" i="24" s="1"/>
  <c r="Q116" i="24"/>
  <c r="P116" i="24"/>
  <c r="N116" i="24"/>
  <c r="O116" i="24"/>
  <c r="M128" i="24"/>
  <c r="R116" i="24"/>
  <c r="R117" i="24" s="1"/>
  <c r="R118" i="24" s="1"/>
  <c r="R119" i="24" s="1"/>
  <c r="R120" i="24" s="1"/>
  <c r="R121" i="24" s="1"/>
  <c r="R122" i="24" s="1"/>
  <c r="R123" i="24" s="1"/>
  <c r="R124" i="24" s="1"/>
  <c r="R125" i="24" s="1"/>
  <c r="R126" i="24" s="1"/>
  <c r="R127" i="24" s="1"/>
  <c r="R135" i="24" s="1"/>
  <c r="R137" i="24" s="1"/>
  <c r="Q18" i="24"/>
  <c r="N24" i="24"/>
  <c r="O24" i="24" s="1"/>
  <c r="P24" i="24" s="1"/>
  <c r="Q15" i="24"/>
  <c r="Q17" i="24"/>
  <c r="O40" i="24"/>
  <c r="P40" i="24"/>
  <c r="Q40" i="24"/>
  <c r="N40" i="24"/>
  <c r="Q39" i="24"/>
  <c r="P39" i="24"/>
  <c r="O39" i="24"/>
  <c r="N39" i="24"/>
  <c r="R39" i="24"/>
  <c r="R40" i="24" s="1"/>
  <c r="R41" i="24" s="1"/>
  <c r="R42" i="24" s="1"/>
  <c r="R43" i="24" s="1"/>
  <c r="R44" i="24" s="1"/>
  <c r="R45" i="24" s="1"/>
  <c r="R46" i="24" s="1"/>
  <c r="R47" i="24" s="1"/>
  <c r="R48" i="24" s="1"/>
  <c r="R49" i="24" s="1"/>
  <c r="R50" i="24" s="1"/>
  <c r="N44" i="24"/>
  <c r="Q44" i="24"/>
  <c r="O44" i="24"/>
  <c r="P44" i="24"/>
  <c r="O49" i="24"/>
  <c r="N49" i="24"/>
  <c r="P49" i="24"/>
  <c r="Q49" i="24"/>
  <c r="Q47" i="24"/>
  <c r="P47" i="24"/>
  <c r="O47" i="24"/>
  <c r="N47" i="24"/>
  <c r="O48" i="24"/>
  <c r="P48" i="24"/>
  <c r="Q48" i="24"/>
  <c r="N48" i="24"/>
  <c r="Q42" i="24"/>
  <c r="P42" i="24"/>
  <c r="N42" i="24"/>
  <c r="O42" i="24"/>
  <c r="P45" i="24"/>
  <c r="Q45" i="24"/>
  <c r="N45" i="24"/>
  <c r="O45" i="24"/>
  <c r="O46" i="24"/>
  <c r="P46" i="24"/>
  <c r="Q46" i="24"/>
  <c r="N46" i="24"/>
  <c r="Q50" i="24"/>
  <c r="N50" i="24"/>
  <c r="P50" i="24"/>
  <c r="O50" i="24"/>
  <c r="O43" i="24"/>
  <c r="N43" i="24"/>
  <c r="P43" i="24"/>
  <c r="Q43" i="24"/>
  <c r="M51" i="24"/>
  <c r="M26" i="24"/>
  <c r="M103" i="24"/>
  <c r="A32" i="2"/>
  <c r="E45" i="17"/>
  <c r="A45" i="1" l="1"/>
  <c r="C17" i="4"/>
  <c r="C18" i="4"/>
  <c r="L23" i="31"/>
  <c r="Q76" i="24"/>
  <c r="P76" i="24"/>
  <c r="Q128" i="24"/>
  <c r="O64" i="24"/>
  <c r="O76" i="24" s="1"/>
  <c r="N76" i="24"/>
  <c r="O128" i="24"/>
  <c r="N128" i="24"/>
  <c r="P128" i="24"/>
  <c r="Q103" i="24"/>
  <c r="Q51" i="24"/>
  <c r="N51" i="24"/>
  <c r="N26" i="24"/>
  <c r="Q26" i="24"/>
  <c r="N103" i="24"/>
  <c r="O26" i="24"/>
  <c r="O51" i="24"/>
  <c r="A34" i="2"/>
  <c r="A37" i="2" s="1"/>
  <c r="E46" i="17"/>
  <c r="C47" i="29" l="1"/>
  <c r="C52" i="1"/>
  <c r="A46" i="1"/>
  <c r="P26" i="24"/>
  <c r="R58" i="24"/>
  <c r="R60" i="24" s="1"/>
  <c r="O103" i="24"/>
  <c r="P103" i="24"/>
  <c r="P51" i="24"/>
  <c r="I12" i="6"/>
  <c r="A38" i="2"/>
  <c r="C53" i="1" l="1"/>
  <c r="A47" i="1"/>
  <c r="A39" i="2"/>
  <c r="A40" i="2" s="1"/>
  <c r="A41" i="2" s="1"/>
  <c r="A42" i="2" s="1"/>
  <c r="C29" i="6" l="1"/>
  <c r="A48" i="1"/>
  <c r="C54" i="1"/>
  <c r="C49" i="29"/>
  <c r="R33" i="24"/>
  <c r="R35" i="24" s="1"/>
  <c r="R87" i="24" s="1"/>
  <c r="A43" i="2"/>
  <c r="C12" i="6"/>
  <c r="C55" i="1" l="1"/>
  <c r="C50" i="29"/>
  <c r="A49" i="1"/>
  <c r="A52" i="1" s="1"/>
  <c r="C49" i="1"/>
  <c r="I61" i="1"/>
  <c r="R110" i="24"/>
  <c r="R112" i="24" s="1"/>
  <c r="R139" i="24" s="1"/>
  <c r="I62" i="1" s="1"/>
  <c r="A44" i="2"/>
  <c r="G29" i="6"/>
  <c r="A53" i="1" l="1"/>
  <c r="A54" i="1" s="1"/>
  <c r="A55" i="1" s="1"/>
  <c r="A56" i="1" s="1"/>
  <c r="I68" i="1"/>
  <c r="I79" i="1" s="1"/>
  <c r="A45" i="2"/>
  <c r="G12" i="6"/>
  <c r="C56" i="1" l="1"/>
  <c r="C11" i="40"/>
  <c r="C24" i="4"/>
  <c r="C23" i="4"/>
  <c r="A58" i="1"/>
  <c r="A61" i="1" s="1"/>
  <c r="I124" i="1"/>
  <c r="I123" i="1"/>
  <c r="A46" i="2"/>
  <c r="D29" i="6"/>
  <c r="A62" i="1" l="1"/>
  <c r="A63" i="1" s="1"/>
  <c r="A64" i="1" s="1"/>
  <c r="A65" i="1" s="1"/>
  <c r="A66" i="1" s="1"/>
  <c r="I135" i="1"/>
  <c r="I138" i="1" s="1"/>
  <c r="I125" i="1"/>
  <c r="A47" i="2"/>
  <c r="D12" i="6"/>
  <c r="A67" i="1" l="1"/>
  <c r="C68" i="29"/>
  <c r="I142" i="1"/>
  <c r="I14" i="1" s="1"/>
  <c r="A48" i="2"/>
  <c r="H29" i="6"/>
  <c r="I22" i="1" l="1"/>
  <c r="C69" i="29"/>
  <c r="A68" i="1"/>
  <c r="A70" i="1" s="1"/>
  <c r="C68" i="1"/>
  <c r="A50" i="2"/>
  <c r="A51" i="2" s="1"/>
  <c r="A54" i="2" s="1"/>
  <c r="A55" i="2" s="1"/>
  <c r="A56" i="2" s="1"/>
  <c r="A57" i="2" s="1"/>
  <c r="A58" i="2" s="1"/>
  <c r="A59" i="2" s="1"/>
  <c r="A60" i="2" s="1"/>
  <c r="A63" i="2" s="1"/>
  <c r="H12" i="6"/>
  <c r="I27" i="1" l="1"/>
  <c r="E110" i="27"/>
  <c r="C72" i="29"/>
  <c r="A73" i="1"/>
  <c r="C12" i="7"/>
  <c r="A64" i="2"/>
  <c r="I28" i="1" l="1"/>
  <c r="I29" i="1"/>
  <c r="A74" i="1"/>
  <c r="D12" i="7"/>
  <c r="A67" i="2"/>
  <c r="B88" i="13" s="1"/>
  <c r="I30" i="1" l="1"/>
  <c r="I32" i="1" s="1"/>
  <c r="I31" i="1"/>
  <c r="I33" i="1" s="1"/>
  <c r="C76" i="29"/>
  <c r="A75" i="1"/>
  <c r="A68" i="2"/>
  <c r="A69" i="2" s="1"/>
  <c r="B89" i="13" s="1"/>
  <c r="A76" i="1" l="1"/>
  <c r="C77" i="29"/>
  <c r="A70" i="2"/>
  <c r="B90" i="13" s="1"/>
  <c r="A77" i="1" l="1"/>
  <c r="C78" i="29"/>
  <c r="C77" i="1"/>
  <c r="A73" i="2"/>
  <c r="B51" i="3" s="1"/>
  <c r="A79" i="1" l="1"/>
  <c r="A84" i="1" s="1"/>
  <c r="C79" i="1"/>
  <c r="A74" i="2"/>
  <c r="B52" i="3" s="1"/>
  <c r="Q18" i="34" l="1"/>
  <c r="Q34" i="34"/>
  <c r="C14" i="40"/>
  <c r="A85" i="1"/>
  <c r="A77" i="2"/>
  <c r="S34" i="34" l="1"/>
  <c r="Y34" i="34"/>
  <c r="T34" i="34"/>
  <c r="U34" i="34"/>
  <c r="X34" i="34"/>
  <c r="V34" i="34"/>
  <c r="W34" i="34"/>
  <c r="Z34" i="34"/>
  <c r="R34" i="34"/>
  <c r="AA34" i="34"/>
  <c r="AB34" i="34"/>
  <c r="AC34" i="34"/>
  <c r="AD34" i="34"/>
  <c r="R18" i="34"/>
  <c r="S18" i="34"/>
  <c r="U18" i="34"/>
  <c r="T18" i="34"/>
  <c r="V18" i="34"/>
  <c r="W18" i="34"/>
  <c r="X18" i="34"/>
  <c r="Y18" i="34"/>
  <c r="Z18" i="34"/>
  <c r="AA18" i="34"/>
  <c r="AB18" i="34"/>
  <c r="AC18" i="34"/>
  <c r="AD18" i="34"/>
  <c r="C15" i="40"/>
  <c r="A86" i="1"/>
  <c r="A78" i="2"/>
  <c r="A79" i="2" s="1"/>
  <c r="A80" i="2" s="1"/>
  <c r="C33" i="40" l="1"/>
  <c r="D12" i="49"/>
  <c r="C16" i="40"/>
  <c r="A87" i="1"/>
  <c r="A90" i="1" s="1"/>
  <c r="C87" i="1"/>
  <c r="A81" i="2"/>
  <c r="C34" i="40" s="1"/>
  <c r="D13" i="28"/>
  <c r="A91" i="1" l="1"/>
  <c r="C19" i="40"/>
  <c r="A82" i="2"/>
  <c r="C35" i="40" s="1"/>
  <c r="D14" i="28"/>
  <c r="A92" i="1" l="1"/>
  <c r="C20" i="40"/>
  <c r="A83" i="2"/>
  <c r="C36" i="40" s="1"/>
  <c r="D15" i="28"/>
  <c r="A93" i="1" l="1"/>
  <c r="C21" i="40"/>
  <c r="A84" i="2"/>
  <c r="C37" i="40" s="1"/>
  <c r="D16" i="28"/>
  <c r="A94" i="1" l="1"/>
  <c r="C22" i="40"/>
  <c r="A85" i="2"/>
  <c r="D17" i="28"/>
  <c r="D12" i="28"/>
  <c r="C85" i="1"/>
  <c r="A95" i="1" l="1"/>
  <c r="C24" i="40"/>
  <c r="A86" i="2"/>
  <c r="C86" i="1"/>
  <c r="A96" i="1" l="1"/>
  <c r="C96" i="1"/>
  <c r="A87" i="2"/>
  <c r="C84" i="1"/>
  <c r="A98" i="1" l="1"/>
  <c r="C100" i="1" s="1"/>
  <c r="A88" i="2"/>
  <c r="C92" i="1"/>
  <c r="A100" i="1" l="1"/>
  <c r="C100" i="29"/>
  <c r="A89" i="2"/>
  <c r="C22" i="5"/>
  <c r="C73" i="1" l="1"/>
  <c r="A103" i="1"/>
  <c r="A90" i="2"/>
  <c r="C15" i="5"/>
  <c r="A104" i="1" l="1"/>
  <c r="D48" i="31"/>
  <c r="C90" i="1"/>
  <c r="A91" i="2"/>
  <c r="C106" i="29" l="1"/>
  <c r="A105" i="1"/>
  <c r="A106" i="1" s="1"/>
  <c r="A107" i="1" s="1"/>
  <c r="A94" i="2"/>
  <c r="A108" i="1" l="1"/>
  <c r="A111" i="1" s="1"/>
  <c r="C108" i="1"/>
  <c r="A95" i="2"/>
  <c r="A96" i="2" s="1"/>
  <c r="A112" i="1" l="1"/>
  <c r="C27" i="40"/>
  <c r="A97" i="2"/>
  <c r="A98" i="2" s="1"/>
  <c r="C103" i="1"/>
  <c r="A113" i="1" l="1"/>
  <c r="C28" i="40"/>
  <c r="A99" i="2"/>
  <c r="A102" i="2" s="1"/>
  <c r="C104" i="1"/>
  <c r="A114" i="1" l="1"/>
  <c r="C42" i="40"/>
  <c r="C35" i="44"/>
  <c r="C35" i="4"/>
  <c r="A103" i="2"/>
  <c r="A115" i="1" l="1"/>
  <c r="C29" i="40"/>
  <c r="C36" i="44"/>
  <c r="C36" i="4"/>
  <c r="A104" i="2"/>
  <c r="A116" i="1" l="1"/>
  <c r="A119" i="1" s="1"/>
  <c r="C30" i="40"/>
  <c r="C116" i="1"/>
  <c r="C37" i="44"/>
  <c r="C37" i="4"/>
  <c r="A105" i="2"/>
  <c r="C124" i="1" l="1"/>
  <c r="C121" i="29"/>
  <c r="A120" i="1"/>
  <c r="A106" i="2"/>
  <c r="A107" i="2" s="1"/>
  <c r="A110" i="2" s="1"/>
  <c r="C38" i="4" l="1"/>
  <c r="C38" i="44"/>
  <c r="A121" i="1"/>
  <c r="A123" i="1" s="1"/>
  <c r="C122" i="29"/>
  <c r="C123" i="1"/>
  <c r="C121" i="1"/>
  <c r="A111" i="2"/>
  <c r="A112" i="2" s="1"/>
  <c r="A113" i="2" s="1"/>
  <c r="A114" i="2" s="1"/>
  <c r="A115" i="2" s="1"/>
  <c r="A116" i="2" s="1"/>
  <c r="A117" i="2" s="1"/>
  <c r="A118" i="2" s="1"/>
  <c r="A119" i="2" s="1"/>
  <c r="A120" i="2" s="1"/>
  <c r="A121" i="2" s="1"/>
  <c r="A124" i="2" s="1"/>
  <c r="A124" i="1" l="1"/>
  <c r="A125" i="1" s="1"/>
  <c r="A128" i="1" s="1"/>
  <c r="C129" i="1" s="1"/>
  <c r="A125" i="2"/>
  <c r="A126" i="2" s="1"/>
  <c r="A127" i="2" s="1"/>
  <c r="A128" i="2" s="1"/>
  <c r="A129" i="2" s="1"/>
  <c r="A130" i="2" s="1"/>
  <c r="A131" i="2" s="1"/>
  <c r="A132" i="2" s="1"/>
  <c r="A133" i="2" s="1"/>
  <c r="A134" i="2" s="1"/>
  <c r="A135" i="2" s="1"/>
  <c r="A138" i="2" s="1"/>
  <c r="C11" i="18"/>
  <c r="C125" i="1" l="1"/>
  <c r="A129" i="1"/>
  <c r="A139" i="2"/>
  <c r="A140" i="2" s="1"/>
  <c r="A141" i="2" s="1"/>
  <c r="A142" i="2" s="1"/>
  <c r="A143" i="2" s="1"/>
  <c r="A144" i="2" s="1"/>
  <c r="A145" i="2" s="1"/>
  <c r="A146" i="2" s="1"/>
  <c r="A147" i="2" s="1"/>
  <c r="A148" i="2" s="1"/>
  <c r="A149" i="2" s="1"/>
  <c r="A152" i="2" s="1"/>
  <c r="D11" i="18"/>
  <c r="B30" i="22" l="1"/>
  <c r="A131" i="1"/>
  <c r="C135" i="1"/>
  <c r="E11" i="18"/>
  <c r="A153" i="2"/>
  <c r="A154" i="2" s="1"/>
  <c r="A155" i="2" s="1"/>
  <c r="A156" i="2" s="1"/>
  <c r="A157" i="2" s="1"/>
  <c r="A158" i="2" s="1"/>
  <c r="A159" i="2" s="1"/>
  <c r="A160" i="2" s="1"/>
  <c r="A161" i="2" s="1"/>
  <c r="A162" i="2" s="1"/>
  <c r="A163" i="2" s="1"/>
  <c r="A166" i="2" s="1"/>
  <c r="A132" i="1" l="1"/>
  <c r="B30" i="43"/>
  <c r="C136" i="1"/>
  <c r="A167" i="2"/>
  <c r="A168" i="2" s="1"/>
  <c r="A169" i="2" s="1"/>
  <c r="A170" i="2" s="1"/>
  <c r="A171" i="2" s="1"/>
  <c r="A172" i="2" s="1"/>
  <c r="A173" i="2" s="1"/>
  <c r="A174" i="2" s="1"/>
  <c r="A175" i="2" s="1"/>
  <c r="A176" i="2" s="1"/>
  <c r="A177" i="2" s="1"/>
  <c r="A180" i="2" s="1"/>
  <c r="A181" i="2" s="1"/>
  <c r="A182" i="2" s="1"/>
  <c r="A183" i="2" s="1"/>
  <c r="A184" i="2" s="1"/>
  <c r="A185" i="2" s="1"/>
  <c r="A186" i="2" s="1"/>
  <c r="A187" i="2" s="1"/>
  <c r="A188" i="2" s="1"/>
  <c r="A189" i="2" s="1"/>
  <c r="A190" i="2" s="1"/>
  <c r="A191" i="2" s="1"/>
  <c r="H11" i="18" s="1"/>
  <c r="F11" i="18"/>
  <c r="A135" i="1" l="1"/>
  <c r="C137" i="1"/>
  <c r="C134" i="29"/>
  <c r="G11" i="18"/>
  <c r="A136" i="1" l="1"/>
  <c r="A137" i="1" s="1"/>
  <c r="A138" i="1" s="1"/>
  <c r="C138" i="1" l="1"/>
  <c r="A140" i="1"/>
  <c r="A142" i="1" s="1"/>
  <c r="C14" i="1" s="1"/>
  <c r="C142" i="1" l="1"/>
  <c r="F21" i="48" l="1"/>
  <c r="F23" i="48" s="1"/>
  <c r="C49" i="31" s="1"/>
  <c r="I35" i="31" l="1"/>
  <c r="J35" i="31" s="1"/>
  <c r="I33" i="31"/>
  <c r="J33" i="31" s="1"/>
  <c r="I26" i="31"/>
  <c r="J26" i="31" s="1"/>
  <c r="I30" i="31"/>
  <c r="J30" i="31" s="1"/>
  <c r="I27" i="31"/>
  <c r="J27" i="31" s="1"/>
  <c r="I25" i="31"/>
  <c r="J25" i="31" s="1"/>
  <c r="I31" i="31"/>
  <c r="J31" i="31" s="1"/>
  <c r="I34" i="31"/>
  <c r="J34" i="31" s="1"/>
  <c r="I24" i="31"/>
  <c r="J24" i="31" s="1"/>
  <c r="I32" i="31"/>
  <c r="J32" i="31" s="1"/>
  <c r="I28" i="31"/>
  <c r="J28" i="31" s="1"/>
  <c r="I29" i="31"/>
  <c r="J29" i="31" s="1"/>
  <c r="J37" i="31" l="1"/>
  <c r="D105" i="29" s="1"/>
  <c r="K24" i="31"/>
  <c r="K25" i="31" l="1"/>
  <c r="L24" i="31"/>
  <c r="D110" i="29"/>
  <c r="I105" i="29"/>
  <c r="I110" i="29" s="1"/>
  <c r="K26" i="31" l="1"/>
  <c r="L25" i="31"/>
  <c r="K27" i="31" l="1"/>
  <c r="L26" i="31"/>
  <c r="K28" i="31" l="1"/>
  <c r="L27" i="31"/>
  <c r="K29" i="31" l="1"/>
  <c r="L28" i="31"/>
  <c r="K30" i="31" l="1"/>
  <c r="L29" i="31"/>
  <c r="K31" i="31" l="1"/>
  <c r="L30" i="31"/>
  <c r="K32" i="31" l="1"/>
  <c r="L31" i="31"/>
  <c r="K33" i="31" l="1"/>
  <c r="L32" i="31"/>
  <c r="K34" i="31" l="1"/>
  <c r="L33" i="31"/>
  <c r="K35" i="31" l="1"/>
  <c r="L34" i="31"/>
  <c r="L35" i="31" l="1"/>
  <c r="L39" i="31" s="1"/>
  <c r="K39" i="31"/>
  <c r="D48" i="29" s="1"/>
  <c r="D51" i="29" l="1"/>
  <c r="D55" i="29"/>
  <c r="D58" i="29" s="1"/>
  <c r="I48" i="29"/>
  <c r="I55" i="29" l="1"/>
  <c r="I58" i="29" s="1"/>
  <c r="F23" i="44" s="1"/>
  <c r="I51" i="29"/>
  <c r="F11" i="40"/>
  <c r="D48" i="40" s="1"/>
  <c r="D52" i="40" s="1"/>
  <c r="F24" i="44"/>
  <c r="F26" i="44" l="1"/>
  <c r="D53" i="40"/>
  <c r="F33" i="40" s="1"/>
  <c r="F21" i="40"/>
  <c r="D94" i="29" s="1"/>
  <c r="I94" i="29" s="1"/>
  <c r="F27" i="40"/>
  <c r="D113" i="29" s="1"/>
  <c r="F19" i="40"/>
  <c r="D92" i="29" s="1"/>
  <c r="F28" i="40"/>
  <c r="D114" i="29" s="1"/>
  <c r="I114" i="29" s="1"/>
  <c r="F29" i="40"/>
  <c r="D116" i="29" s="1"/>
  <c r="I116" i="29" s="1"/>
  <c r="F30" i="40"/>
  <c r="D117" i="29" s="1"/>
  <c r="I117" i="29" s="1"/>
  <c r="F14" i="40"/>
  <c r="D86" i="29" s="1"/>
  <c r="F20" i="40"/>
  <c r="D93" i="29" s="1"/>
  <c r="I93" i="29" s="1"/>
  <c r="F15" i="40"/>
  <c r="D87" i="29" s="1"/>
  <c r="I87" i="29" s="1"/>
  <c r="F35" i="40"/>
  <c r="F22" i="40"/>
  <c r="I95" i="29" s="1"/>
  <c r="F36" i="40"/>
  <c r="F34" i="40"/>
  <c r="F24" i="40"/>
  <c r="D96" i="29" s="1"/>
  <c r="I96" i="29" s="1"/>
  <c r="F37" i="40"/>
  <c r="R31" i="35"/>
  <c r="Q51" i="34"/>
  <c r="Q17" i="34"/>
  <c r="Q29" i="34"/>
  <c r="Q53" i="34"/>
  <c r="R18" i="35"/>
  <c r="Q24" i="34"/>
  <c r="G115" i="29"/>
  <c r="I115" i="29" s="1"/>
  <c r="R28" i="35"/>
  <c r="Q20" i="34"/>
  <c r="R14" i="35"/>
  <c r="Q28" i="34"/>
  <c r="R16" i="35"/>
  <c r="Q50" i="34"/>
  <c r="Q66" i="34"/>
  <c r="R13" i="35"/>
  <c r="Q27" i="34"/>
  <c r="R15" i="35"/>
  <c r="Q32" i="34"/>
  <c r="Q54" i="34"/>
  <c r="F16" i="40" l="1"/>
  <c r="D88" i="29" s="1"/>
  <c r="I88" i="29" s="1"/>
  <c r="U66" i="34"/>
  <c r="X66" i="34"/>
  <c r="AA66" i="34"/>
  <c r="Z66" i="34"/>
  <c r="W66" i="34"/>
  <c r="V66" i="34"/>
  <c r="T66" i="34"/>
  <c r="S66" i="34"/>
  <c r="AB66" i="34"/>
  <c r="R66" i="34"/>
  <c r="Y66" i="34"/>
  <c r="AD66" i="34"/>
  <c r="AC66" i="34"/>
  <c r="AB28" i="34"/>
  <c r="X28" i="34"/>
  <c r="Y28" i="34"/>
  <c r="R28" i="34"/>
  <c r="Z28" i="34"/>
  <c r="AC28" i="34"/>
  <c r="W28" i="34"/>
  <c r="V28" i="34"/>
  <c r="AA28" i="34"/>
  <c r="T28" i="34"/>
  <c r="S28" i="34"/>
  <c r="AD28" i="34"/>
  <c r="U28" i="34"/>
  <c r="R20" i="34"/>
  <c r="AA20" i="34"/>
  <c r="W20" i="34"/>
  <c r="S20" i="34"/>
  <c r="AC20" i="34"/>
  <c r="X20" i="34"/>
  <c r="T20" i="34"/>
  <c r="AD20" i="34"/>
  <c r="V20" i="34"/>
  <c r="Y20" i="34"/>
  <c r="Z20" i="34"/>
  <c r="AB20" i="34"/>
  <c r="U20" i="34"/>
  <c r="W50" i="34"/>
  <c r="T50" i="34"/>
  <c r="U50" i="34"/>
  <c r="AD50" i="34"/>
  <c r="X50" i="34"/>
  <c r="V50" i="34"/>
  <c r="Z50" i="34"/>
  <c r="AA50" i="34"/>
  <c r="AB50" i="34"/>
  <c r="R50" i="34"/>
  <c r="AC50" i="34"/>
  <c r="S50" i="34"/>
  <c r="Y50" i="34"/>
  <c r="S28" i="35"/>
  <c r="Y28" i="35"/>
  <c r="T28" i="35"/>
  <c r="AD28" i="35"/>
  <c r="AA28" i="35"/>
  <c r="V28" i="35"/>
  <c r="Z28" i="35"/>
  <c r="AE28" i="35"/>
  <c r="X28" i="35"/>
  <c r="AC28" i="35"/>
  <c r="AB28" i="35"/>
  <c r="W28" i="35"/>
  <c r="U28" i="35"/>
  <c r="AB15" i="35"/>
  <c r="AD15" i="35"/>
  <c r="Y15" i="35"/>
  <c r="W15" i="35"/>
  <c r="AA15" i="35"/>
  <c r="V15" i="35"/>
  <c r="Z15" i="35"/>
  <c r="AC15" i="35"/>
  <c r="U15" i="35"/>
  <c r="T15" i="35"/>
  <c r="S15" i="35"/>
  <c r="X15" i="35"/>
  <c r="AE15" i="35"/>
  <c r="AA32" i="34"/>
  <c r="AB32" i="34"/>
  <c r="AC32" i="34"/>
  <c r="AD32" i="34"/>
  <c r="S32" i="34"/>
  <c r="T32" i="34"/>
  <c r="R32" i="34"/>
  <c r="V32" i="34"/>
  <c r="W32" i="34"/>
  <c r="X32" i="34"/>
  <c r="U32" i="34"/>
  <c r="Y32" i="34"/>
  <c r="Z32" i="34"/>
  <c r="I86" i="29"/>
  <c r="D89" i="29"/>
  <c r="Y14" i="35"/>
  <c r="AE14" i="35"/>
  <c r="W14" i="35"/>
  <c r="AA14" i="35"/>
  <c r="T14" i="35"/>
  <c r="V14" i="35"/>
  <c r="Z14" i="35"/>
  <c r="AC14" i="35"/>
  <c r="S14" i="35"/>
  <c r="AB14" i="35"/>
  <c r="U14" i="35"/>
  <c r="AD14" i="35"/>
  <c r="X14" i="35"/>
  <c r="AB16" i="35"/>
  <c r="AC16" i="35"/>
  <c r="W16" i="35"/>
  <c r="AA16" i="35"/>
  <c r="Y16" i="35"/>
  <c r="X16" i="35"/>
  <c r="U16" i="35"/>
  <c r="AE16" i="35"/>
  <c r="AD16" i="35"/>
  <c r="V16" i="35"/>
  <c r="Z16" i="35"/>
  <c r="S16" i="35"/>
  <c r="T16" i="35"/>
  <c r="X18" i="35"/>
  <c r="Z18" i="35"/>
  <c r="Y18" i="35"/>
  <c r="S18" i="35"/>
  <c r="U18" i="35"/>
  <c r="T18" i="35"/>
  <c r="AE18" i="35"/>
  <c r="AB18" i="35"/>
  <c r="AD18" i="35"/>
  <c r="V18" i="35"/>
  <c r="AA18" i="35"/>
  <c r="AC18" i="35"/>
  <c r="W18" i="35"/>
  <c r="U53" i="34"/>
  <c r="W53" i="34"/>
  <c r="Z53" i="34"/>
  <c r="V53" i="34"/>
  <c r="T53" i="34"/>
  <c r="S53" i="34"/>
  <c r="Y53" i="34"/>
  <c r="X53" i="34"/>
  <c r="AA53" i="34"/>
  <c r="R53" i="34"/>
  <c r="AB53" i="34"/>
  <c r="AD53" i="34"/>
  <c r="AC53" i="34"/>
  <c r="U24" i="34"/>
  <c r="T24" i="34"/>
  <c r="W24" i="34"/>
  <c r="X24" i="34"/>
  <c r="Y24" i="34"/>
  <c r="Z24" i="34"/>
  <c r="AA24" i="34"/>
  <c r="AB24" i="34"/>
  <c r="AC24" i="34"/>
  <c r="AD24" i="34"/>
  <c r="S24" i="34"/>
  <c r="R24" i="34"/>
  <c r="V24" i="34"/>
  <c r="V54" i="34"/>
  <c r="R54" i="34"/>
  <c r="Z54" i="34"/>
  <c r="AA54" i="34"/>
  <c r="AB54" i="34"/>
  <c r="Y54" i="34"/>
  <c r="X54" i="34"/>
  <c r="AC54" i="34"/>
  <c r="AD54" i="34"/>
  <c r="U54" i="34"/>
  <c r="W54" i="34"/>
  <c r="S54" i="34"/>
  <c r="T54" i="34"/>
  <c r="X29" i="34"/>
  <c r="AD29" i="34"/>
  <c r="S29" i="34"/>
  <c r="U29" i="34"/>
  <c r="R29" i="34"/>
  <c r="V29" i="34"/>
  <c r="Z29" i="34"/>
  <c r="AA29" i="34"/>
  <c r="AB29" i="34"/>
  <c r="AC29" i="34"/>
  <c r="W29" i="34"/>
  <c r="T29" i="34"/>
  <c r="Y29" i="34"/>
  <c r="R17" i="34"/>
  <c r="AA17" i="34"/>
  <c r="Y17" i="34"/>
  <c r="U17" i="34"/>
  <c r="Z17" i="34"/>
  <c r="T17" i="34"/>
  <c r="S17" i="34"/>
  <c r="AC17" i="34"/>
  <c r="V17" i="34"/>
  <c r="AD17" i="34"/>
  <c r="W17" i="34"/>
  <c r="X17" i="34"/>
  <c r="AB17" i="34"/>
  <c r="I92" i="29"/>
  <c r="I98" i="29" s="1"/>
  <c r="D98" i="29"/>
  <c r="T51" i="34"/>
  <c r="AB51" i="34"/>
  <c r="U51" i="34"/>
  <c r="AC51" i="34"/>
  <c r="Y51" i="34"/>
  <c r="AD51" i="34"/>
  <c r="W51" i="34"/>
  <c r="X51" i="34"/>
  <c r="R51" i="34"/>
  <c r="Z51" i="34"/>
  <c r="AA51" i="34"/>
  <c r="V51" i="34"/>
  <c r="S51" i="34"/>
  <c r="D118" i="29"/>
  <c r="I113" i="29"/>
  <c r="I118" i="29" s="1"/>
  <c r="AA27" i="34"/>
  <c r="X27" i="34"/>
  <c r="R27" i="34"/>
  <c r="AB27" i="34"/>
  <c r="AC27" i="34"/>
  <c r="T27" i="34"/>
  <c r="W27" i="34"/>
  <c r="U27" i="34"/>
  <c r="Y27" i="34"/>
  <c r="Z27" i="34"/>
  <c r="S27" i="34"/>
  <c r="V27" i="34"/>
  <c r="AD27" i="34"/>
  <c r="Y31" i="35"/>
  <c r="W31" i="35"/>
  <c r="AA31" i="35"/>
  <c r="V31" i="35"/>
  <c r="S31" i="35"/>
  <c r="Z31" i="35"/>
  <c r="U31" i="35"/>
  <c r="AB31" i="35"/>
  <c r="AD31" i="35"/>
  <c r="X31" i="35"/>
  <c r="AE31" i="35"/>
  <c r="T31" i="35"/>
  <c r="AC31" i="35"/>
  <c r="AA13" i="35"/>
  <c r="Z13" i="35"/>
  <c r="U13" i="35"/>
  <c r="V13" i="35"/>
  <c r="T13" i="35"/>
  <c r="AD13" i="35"/>
  <c r="Y13" i="35"/>
  <c r="W13" i="35"/>
  <c r="S13" i="35"/>
  <c r="AC13" i="35"/>
  <c r="X13" i="35"/>
  <c r="AE13" i="35"/>
  <c r="AB13" i="35"/>
  <c r="I89" i="29" l="1"/>
  <c r="AF15" i="35"/>
  <c r="R42" i="34"/>
  <c r="L13" i="33" s="1"/>
  <c r="R40" i="34"/>
  <c r="Z21" i="35"/>
  <c r="Z23" i="35"/>
  <c r="AD42" i="34"/>
  <c r="AD40" i="34"/>
  <c r="AF16" i="35"/>
  <c r="AC42" i="34"/>
  <c r="AC40" i="34"/>
  <c r="W35" i="35"/>
  <c r="W33" i="35"/>
  <c r="AB57" i="34"/>
  <c r="AB59" i="34"/>
  <c r="S42" i="34"/>
  <c r="S40" i="34"/>
  <c r="AF14" i="35"/>
  <c r="AB33" i="35"/>
  <c r="AB35" i="35"/>
  <c r="AA57" i="34"/>
  <c r="AA59" i="34"/>
  <c r="AF31" i="35"/>
  <c r="T42" i="34"/>
  <c r="T40" i="34"/>
  <c r="AF18" i="35"/>
  <c r="AC35" i="35"/>
  <c r="AC33" i="35"/>
  <c r="Z59" i="34"/>
  <c r="Z57" i="34"/>
  <c r="D102" i="29"/>
  <c r="X35" i="35"/>
  <c r="X36" i="35" s="1"/>
  <c r="X33" i="35"/>
  <c r="V59" i="34"/>
  <c r="V57" i="34"/>
  <c r="AC77" i="34"/>
  <c r="AC79" i="34"/>
  <c r="U42" i="34"/>
  <c r="U40" i="34"/>
  <c r="I102" i="29"/>
  <c r="I75" i="29" s="1"/>
  <c r="I79" i="29" s="1"/>
  <c r="AF28" i="35"/>
  <c r="AE33" i="35"/>
  <c r="AE35" i="35"/>
  <c r="X59" i="34"/>
  <c r="X57" i="34"/>
  <c r="AD77" i="34"/>
  <c r="AD79" i="34"/>
  <c r="Z42" i="34"/>
  <c r="Z40" i="34"/>
  <c r="AF13" i="35"/>
  <c r="AE23" i="35"/>
  <c r="AE21" i="35"/>
  <c r="X21" i="35"/>
  <c r="X23" i="35"/>
  <c r="Y40" i="34"/>
  <c r="Y42" i="34"/>
  <c r="Z35" i="35"/>
  <c r="Z33" i="35"/>
  <c r="AD57" i="34"/>
  <c r="AD59" i="34"/>
  <c r="Y79" i="34"/>
  <c r="Y77" i="34"/>
  <c r="AD23" i="35"/>
  <c r="AD21" i="35"/>
  <c r="T21" i="35"/>
  <c r="T23" i="35"/>
  <c r="AB21" i="35"/>
  <c r="AB39" i="35" s="1"/>
  <c r="AB23" i="35"/>
  <c r="AC21" i="35"/>
  <c r="AC23" i="35"/>
  <c r="AA42" i="34"/>
  <c r="AA40" i="34"/>
  <c r="V33" i="35"/>
  <c r="V35" i="35"/>
  <c r="U57" i="34"/>
  <c r="U59" i="34"/>
  <c r="R79" i="34"/>
  <c r="L63" i="33" s="1"/>
  <c r="R77" i="34"/>
  <c r="AA35" i="35"/>
  <c r="AA33" i="35"/>
  <c r="T57" i="34"/>
  <c r="T59" i="34"/>
  <c r="AB77" i="34"/>
  <c r="AB79" i="34"/>
  <c r="AD33" i="35"/>
  <c r="AD35" i="35"/>
  <c r="W57" i="34"/>
  <c r="W59" i="34"/>
  <c r="S77" i="34"/>
  <c r="S79" i="34"/>
  <c r="Y23" i="35"/>
  <c r="Y21" i="35"/>
  <c r="T35" i="35"/>
  <c r="T33" i="35"/>
  <c r="T79" i="34"/>
  <c r="T77" i="34"/>
  <c r="Y35" i="35"/>
  <c r="Y33" i="35"/>
  <c r="V77" i="34"/>
  <c r="V79" i="34"/>
  <c r="W21" i="35"/>
  <c r="W23" i="35"/>
  <c r="S33" i="35"/>
  <c r="S35" i="35"/>
  <c r="L115" i="33" s="1"/>
  <c r="W79" i="34"/>
  <c r="W77" i="34"/>
  <c r="X42" i="34"/>
  <c r="X40" i="34"/>
  <c r="Y59" i="34"/>
  <c r="Y57" i="34"/>
  <c r="Z79" i="34"/>
  <c r="Z80" i="34" s="1"/>
  <c r="Z77" i="34"/>
  <c r="V21" i="35"/>
  <c r="V23" i="35"/>
  <c r="U21" i="35"/>
  <c r="U23" i="35"/>
  <c r="W40" i="34"/>
  <c r="W42" i="34"/>
  <c r="S57" i="34"/>
  <c r="S59" i="34"/>
  <c r="AA77" i="34"/>
  <c r="AA79" i="34"/>
  <c r="S23" i="35"/>
  <c r="S21" i="35"/>
  <c r="AB40" i="34"/>
  <c r="AB42" i="34"/>
  <c r="AC59" i="34"/>
  <c r="AC57" i="34"/>
  <c r="X79" i="34"/>
  <c r="X77" i="34"/>
  <c r="AA23" i="35"/>
  <c r="AA21" i="35"/>
  <c r="V40" i="34"/>
  <c r="V42" i="34"/>
  <c r="V43" i="34" s="1"/>
  <c r="U33" i="35"/>
  <c r="U35" i="35"/>
  <c r="R57" i="34"/>
  <c r="R59" i="34"/>
  <c r="L38" i="33" s="1"/>
  <c r="U79" i="34"/>
  <c r="U77" i="34"/>
  <c r="Y60" i="34" l="1"/>
  <c r="U43" i="34"/>
  <c r="AD39" i="35"/>
  <c r="S43" i="34"/>
  <c r="AC60" i="34"/>
  <c r="AD80" i="34"/>
  <c r="W39" i="35"/>
  <c r="AD36" i="35"/>
  <c r="U36" i="35"/>
  <c r="Z43" i="34"/>
  <c r="Y83" i="34"/>
  <c r="V39" i="35"/>
  <c r="AA36" i="35"/>
  <c r="X80" i="34"/>
  <c r="S60" i="34"/>
  <c r="AA60" i="34"/>
  <c r="AC39" i="35"/>
  <c r="AE39" i="35"/>
  <c r="T39" i="35"/>
  <c r="T60" i="34"/>
  <c r="V60" i="34"/>
  <c r="AB60" i="34"/>
  <c r="T36" i="35"/>
  <c r="S39" i="35"/>
  <c r="Y36" i="35"/>
  <c r="W43" i="34"/>
  <c r="AB80" i="34"/>
  <c r="U39" i="35"/>
  <c r="AF23" i="35"/>
  <c r="AF21" i="35"/>
  <c r="Z83" i="34"/>
  <c r="S83" i="34"/>
  <c r="D75" i="29"/>
  <c r="D79" i="29" s="1"/>
  <c r="D81" i="29" s="1"/>
  <c r="AD24" i="35"/>
  <c r="AD41" i="35"/>
  <c r="AB43" i="34"/>
  <c r="Y80" i="34"/>
  <c r="Z60" i="34"/>
  <c r="X83" i="34"/>
  <c r="Y39" i="35"/>
  <c r="U60" i="34"/>
  <c r="AD60" i="34"/>
  <c r="X60" i="34"/>
  <c r="W36" i="35"/>
  <c r="V24" i="35"/>
  <c r="V41" i="35"/>
  <c r="X43" i="34"/>
  <c r="Y41" i="35"/>
  <c r="Y24" i="35"/>
  <c r="AE36" i="35"/>
  <c r="AC83" i="34"/>
  <c r="AB83" i="34"/>
  <c r="U80" i="34"/>
  <c r="S41" i="35"/>
  <c r="L90" i="33"/>
  <c r="AA80" i="34"/>
  <c r="T80" i="34"/>
  <c r="S80" i="34"/>
  <c r="V36" i="35"/>
  <c r="AC43" i="34"/>
  <c r="W80" i="34"/>
  <c r="Z36" i="35"/>
  <c r="AF35" i="35"/>
  <c r="AF33" i="35"/>
  <c r="T83" i="34"/>
  <c r="AA41" i="35"/>
  <c r="AA24" i="35"/>
  <c r="W60" i="34"/>
  <c r="AA83" i="34"/>
  <c r="Y43" i="34"/>
  <c r="T43" i="34"/>
  <c r="AD83" i="34"/>
  <c r="T41" i="35"/>
  <c r="T24" i="35"/>
  <c r="AA43" i="34"/>
  <c r="U83" i="34"/>
  <c r="AD43" i="34"/>
  <c r="X41" i="35"/>
  <c r="X24" i="35"/>
  <c r="Z41" i="35"/>
  <c r="Z24" i="35"/>
  <c r="W41" i="35"/>
  <c r="W24" i="35"/>
  <c r="AC41" i="35"/>
  <c r="AC24" i="35"/>
  <c r="V83" i="34"/>
  <c r="W83" i="34"/>
  <c r="X39" i="35"/>
  <c r="AC80" i="34"/>
  <c r="Z39" i="35"/>
  <c r="AA39" i="35"/>
  <c r="U24" i="35"/>
  <c r="U41" i="35"/>
  <c r="V80" i="34"/>
  <c r="AB24" i="35"/>
  <c r="AB41" i="35"/>
  <c r="AC36" i="35"/>
  <c r="AB36" i="35"/>
  <c r="R83" i="34"/>
  <c r="AE24" i="35"/>
  <c r="AE41" i="35"/>
  <c r="J39" i="33" l="1" a="1"/>
  <c r="J48" i="33" s="1"/>
  <c r="K48" i="33" s="1"/>
  <c r="Z42" i="35"/>
  <c r="J116" i="33" a="1"/>
  <c r="J116" i="33" s="1"/>
  <c r="T42" i="35"/>
  <c r="X42" i="35"/>
  <c r="AA42" i="35"/>
  <c r="J91" i="33" a="1"/>
  <c r="J102" i="33" s="1"/>
  <c r="K102" i="33" s="1"/>
  <c r="J14" i="33" a="1"/>
  <c r="J20" i="33" s="1"/>
  <c r="K20" i="33" s="1"/>
  <c r="AE42" i="35"/>
  <c r="U42" i="35"/>
  <c r="AD42" i="35"/>
  <c r="AC42" i="35"/>
  <c r="AB42" i="35"/>
  <c r="Y42" i="35"/>
  <c r="D125" i="29"/>
  <c r="D126" i="29"/>
  <c r="W42" i="35"/>
  <c r="V42" i="35"/>
  <c r="J64" i="33" a="1"/>
  <c r="AF39" i="35"/>
  <c r="I133" i="29" s="1"/>
  <c r="I138" i="29" s="1"/>
  <c r="AF41" i="35"/>
  <c r="AF42" i="35" s="1"/>
  <c r="J42" i="33" l="1"/>
  <c r="K42" i="33" s="1"/>
  <c r="J41" i="33"/>
  <c r="K41" i="33" s="1"/>
  <c r="J45" i="33"/>
  <c r="K45" i="33" s="1"/>
  <c r="J49" i="33"/>
  <c r="K49" i="33" s="1"/>
  <c r="J127" i="33"/>
  <c r="K127" i="33" s="1"/>
  <c r="J44" i="33"/>
  <c r="K44" i="33" s="1"/>
  <c r="J50" i="33"/>
  <c r="K50" i="33" s="1"/>
  <c r="J46" i="33"/>
  <c r="K46" i="33" s="1"/>
  <c r="J125" i="33"/>
  <c r="K125" i="33" s="1"/>
  <c r="J39" i="33"/>
  <c r="K39" i="33" s="1"/>
  <c r="J118" i="33"/>
  <c r="K118" i="33" s="1"/>
  <c r="J123" i="33"/>
  <c r="K123" i="33" s="1"/>
  <c r="J126" i="33"/>
  <c r="K126" i="33" s="1"/>
  <c r="J120" i="33"/>
  <c r="K120" i="33" s="1"/>
  <c r="J121" i="33"/>
  <c r="K121" i="33" s="1"/>
  <c r="J100" i="33"/>
  <c r="K100" i="33" s="1"/>
  <c r="J47" i="33"/>
  <c r="K47" i="33" s="1"/>
  <c r="J119" i="33"/>
  <c r="K119" i="33" s="1"/>
  <c r="J43" i="33"/>
  <c r="K43" i="33" s="1"/>
  <c r="J117" i="33"/>
  <c r="K117" i="33" s="1"/>
  <c r="J40" i="33"/>
  <c r="K40" i="33" s="1"/>
  <c r="J124" i="33"/>
  <c r="K124" i="33" s="1"/>
  <c r="J101" i="33"/>
  <c r="K101" i="33" s="1"/>
  <c r="J91" i="33"/>
  <c r="J92" i="33"/>
  <c r="K92" i="33" s="1"/>
  <c r="J99" i="33"/>
  <c r="K99" i="33" s="1"/>
  <c r="J97" i="33"/>
  <c r="K97" i="33" s="1"/>
  <c r="J96" i="33"/>
  <c r="K96" i="33" s="1"/>
  <c r="J95" i="33"/>
  <c r="K95" i="33" s="1"/>
  <c r="J122" i="33"/>
  <c r="K122" i="33" s="1"/>
  <c r="J98" i="33"/>
  <c r="K98" i="33" s="1"/>
  <c r="J94" i="33"/>
  <c r="K94" i="33" s="1"/>
  <c r="J93" i="33"/>
  <c r="K93" i="33" s="1"/>
  <c r="J17" i="33"/>
  <c r="K17" i="33" s="1"/>
  <c r="J18" i="33"/>
  <c r="K18" i="33" s="1"/>
  <c r="J25" i="33"/>
  <c r="K25" i="33" s="1"/>
  <c r="J14" i="33"/>
  <c r="K14" i="33" s="1"/>
  <c r="J23" i="33"/>
  <c r="K23" i="33" s="1"/>
  <c r="J21" i="33"/>
  <c r="K21" i="33" s="1"/>
  <c r="J22" i="33"/>
  <c r="K22" i="33" s="1"/>
  <c r="J24" i="33"/>
  <c r="K24" i="33" s="1"/>
  <c r="J16" i="33"/>
  <c r="K16" i="33" s="1"/>
  <c r="J19" i="33"/>
  <c r="K19" i="33" s="1"/>
  <c r="J15" i="33"/>
  <c r="K15" i="33" s="1"/>
  <c r="J68" i="33"/>
  <c r="K68" i="33" s="1"/>
  <c r="J67" i="33"/>
  <c r="K67" i="33" s="1"/>
  <c r="J73" i="33"/>
  <c r="K73" i="33" s="1"/>
  <c r="J75" i="33"/>
  <c r="K75" i="33" s="1"/>
  <c r="J65" i="33"/>
  <c r="K65" i="33" s="1"/>
  <c r="J66" i="33"/>
  <c r="K66" i="33" s="1"/>
  <c r="J71" i="33"/>
  <c r="K71" i="33" s="1"/>
  <c r="J64" i="33"/>
  <c r="J70" i="33"/>
  <c r="K70" i="33" s="1"/>
  <c r="J74" i="33"/>
  <c r="K74" i="33" s="1"/>
  <c r="J69" i="33"/>
  <c r="K69" i="33" s="1"/>
  <c r="J72" i="33"/>
  <c r="K72" i="33" s="1"/>
  <c r="D127" i="29"/>
  <c r="D137" i="29"/>
  <c r="D140" i="29" s="1"/>
  <c r="K116" i="33"/>
  <c r="J51" i="33" l="1"/>
  <c r="J103" i="33"/>
  <c r="K91" i="33"/>
  <c r="J128" i="33"/>
  <c r="J26" i="33"/>
  <c r="K26" i="33"/>
  <c r="L14" i="33"/>
  <c r="L15" i="33" s="1"/>
  <c r="L16" i="33" s="1"/>
  <c r="L17" i="33" s="1"/>
  <c r="L18" i="33" s="1"/>
  <c r="L19" i="33" s="1"/>
  <c r="L20" i="33" s="1"/>
  <c r="L21" i="33" s="1"/>
  <c r="L22" i="33" s="1"/>
  <c r="L23" i="33" s="1"/>
  <c r="L24" i="33" s="1"/>
  <c r="L25" i="33" s="1"/>
  <c r="L33" i="33" s="1"/>
  <c r="L35" i="33" s="1"/>
  <c r="L39" i="33"/>
  <c r="L40" i="33" s="1"/>
  <c r="L41" i="33" s="1"/>
  <c r="L42" i="33" s="1"/>
  <c r="L43" i="33" s="1"/>
  <c r="L44" i="33" s="1"/>
  <c r="L45" i="33" s="1"/>
  <c r="L46" i="33" s="1"/>
  <c r="L47" i="33" s="1"/>
  <c r="L48" i="33" s="1"/>
  <c r="L49" i="33" s="1"/>
  <c r="L50" i="33" s="1"/>
  <c r="L58" i="33" s="1"/>
  <c r="L60" i="33" s="1"/>
  <c r="K51" i="33"/>
  <c r="K103" i="33"/>
  <c r="L91" i="33"/>
  <c r="L92" i="33" s="1"/>
  <c r="L93" i="33" s="1"/>
  <c r="L94" i="33" s="1"/>
  <c r="L95" i="33" s="1"/>
  <c r="L96" i="33" s="1"/>
  <c r="L97" i="33" s="1"/>
  <c r="L98" i="33" s="1"/>
  <c r="L99" i="33" s="1"/>
  <c r="L100" i="33" s="1"/>
  <c r="L101" i="33" s="1"/>
  <c r="L102" i="33" s="1"/>
  <c r="L110" i="33" s="1"/>
  <c r="L112" i="33" s="1"/>
  <c r="L116" i="33"/>
  <c r="L117" i="33" s="1"/>
  <c r="L118" i="33" s="1"/>
  <c r="L119" i="33" s="1"/>
  <c r="L120" i="33" s="1"/>
  <c r="L121" i="33" s="1"/>
  <c r="L122" i="33" s="1"/>
  <c r="L123" i="33" s="1"/>
  <c r="L124" i="33" s="1"/>
  <c r="L125" i="33" s="1"/>
  <c r="L126" i="33" s="1"/>
  <c r="L127" i="33" s="1"/>
  <c r="L135" i="33" s="1"/>
  <c r="L137" i="33" s="1"/>
  <c r="K128" i="33"/>
  <c r="K64" i="33"/>
  <c r="J76" i="33"/>
  <c r="D144" i="29"/>
  <c r="D14" i="29" s="1"/>
  <c r="D24" i="29" s="1"/>
  <c r="L139" i="33" l="1"/>
  <c r="I64" i="29" s="1"/>
  <c r="K76" i="33"/>
  <c r="L64" i="33"/>
  <c r="L65" i="33" s="1"/>
  <c r="L66" i="33" s="1"/>
  <c r="L67" i="33" s="1"/>
  <c r="L68" i="33" s="1"/>
  <c r="L69" i="33" s="1"/>
  <c r="L70" i="33" s="1"/>
  <c r="L71" i="33" s="1"/>
  <c r="L72" i="33" s="1"/>
  <c r="L73" i="33" s="1"/>
  <c r="L74" i="33" s="1"/>
  <c r="L75" i="33" s="1"/>
  <c r="L83" i="33" s="1"/>
  <c r="L85" i="33" s="1"/>
  <c r="L87" i="33" s="1"/>
  <c r="I63" i="29" s="1"/>
  <c r="I70" i="29" s="1"/>
  <c r="I81" i="29" s="1"/>
  <c r="I125" i="29" l="1"/>
  <c r="I137" i="29" s="1"/>
  <c r="I140" i="29" s="1"/>
  <c r="I126" i="29"/>
  <c r="I127" i="29" l="1"/>
  <c r="I144" i="29" s="1"/>
  <c r="I14" i="29" s="1"/>
  <c r="I24" i="29" s="1"/>
  <c r="I29" i="29" s="1"/>
  <c r="I30" i="29" l="1"/>
  <c r="I31" i="29"/>
  <c r="I33" i="29" l="1"/>
  <c r="I35" i="29" s="1"/>
  <c r="I32" i="29"/>
  <c r="I34" i="29" s="1"/>
</calcChain>
</file>

<file path=xl/sharedStrings.xml><?xml version="1.0" encoding="utf-8"?>
<sst xmlns="http://schemas.openxmlformats.org/spreadsheetml/2006/main" count="3829" uniqueCount="1159">
  <si>
    <t>El Paso Electric Company</t>
  </si>
  <si>
    <t>Line No.</t>
  </si>
  <si>
    <t>Description</t>
  </si>
  <si>
    <t>Reference</t>
  </si>
  <si>
    <t>Total Company Amount</t>
  </si>
  <si>
    <t>Code</t>
  </si>
  <si>
    <t>%</t>
  </si>
  <si>
    <t>[a]</t>
  </si>
  <si>
    <t>[b]</t>
  </si>
  <si>
    <t>[c]</t>
  </si>
  <si>
    <t>[d]</t>
  </si>
  <si>
    <t>[e]</t>
  </si>
  <si>
    <t>[f]</t>
  </si>
  <si>
    <t>Gross Revenue Requirement</t>
  </si>
  <si>
    <t>Revenue Credits</t>
  </si>
  <si>
    <t>Total Revenue Credits</t>
  </si>
  <si>
    <t>TP</t>
  </si>
  <si>
    <t>Net Revenue Requirement</t>
  </si>
  <si>
    <t>Divisor</t>
  </si>
  <si>
    <t>Rates</t>
  </si>
  <si>
    <t xml:space="preserve">   Hourly On-Peak (MW-hour)</t>
  </si>
  <si>
    <t xml:space="preserve">   Hourly Off-Peak (MW-hour)</t>
  </si>
  <si>
    <t>Gross Plant in Service</t>
  </si>
  <si>
    <t>SECTION II: RATE BASE</t>
  </si>
  <si>
    <t xml:space="preserve">  Production</t>
  </si>
  <si>
    <t xml:space="preserve">  Transmission</t>
  </si>
  <si>
    <t xml:space="preserve">  Distribution</t>
  </si>
  <si>
    <t xml:space="preserve">  General &amp; Intangible</t>
  </si>
  <si>
    <t>Net Plant in Service</t>
  </si>
  <si>
    <t>NA</t>
  </si>
  <si>
    <t>Construction Work in Progress (CWIP)</t>
  </si>
  <si>
    <t>Rate Base Adjustments</t>
  </si>
  <si>
    <t>Accumulated Deferred Income Taxes (ADIT)</t>
  </si>
  <si>
    <t>Unamortized Excess/Deficient Deferred Income Taxes</t>
  </si>
  <si>
    <t>Unamortized Regulatory Assets</t>
  </si>
  <si>
    <t>Unamortized Regulatory Liabilities</t>
  </si>
  <si>
    <t xml:space="preserve">Unamortized Abandoned Plant  </t>
  </si>
  <si>
    <t xml:space="preserve">Unfunded Reserves </t>
  </si>
  <si>
    <t>Working Capital</t>
  </si>
  <si>
    <t>Prepayments</t>
  </si>
  <si>
    <t>Rate Base</t>
  </si>
  <si>
    <t>DA</t>
  </si>
  <si>
    <t>GP</t>
  </si>
  <si>
    <t>SECTION I: RATE SUMMARY</t>
  </si>
  <si>
    <t>SECTION III: COST OF SERVICE</t>
  </si>
  <si>
    <t>Formula Rate Template (Actuals)</t>
  </si>
  <si>
    <t>Transmission O&amp;M Expenses</t>
  </si>
  <si>
    <t>Less: Account Nos. 561.1-561.8 (Load Dispatch)</t>
  </si>
  <si>
    <t>Less: Account No. 565 (Transmission of Electricity by Others)</t>
  </si>
  <si>
    <t>Adjusted Transmission O&amp;M</t>
  </si>
  <si>
    <t>Adjusted A&amp;G</t>
  </si>
  <si>
    <t>Less: Non-Recoverable A&amp;G</t>
  </si>
  <si>
    <t>Plus: Property Insurance</t>
  </si>
  <si>
    <t>Total Operating Expenses</t>
  </si>
  <si>
    <t xml:space="preserve">Transmission </t>
  </si>
  <si>
    <t xml:space="preserve">General &amp; Intangible </t>
  </si>
  <si>
    <t>Amortization of Abandoned Plant</t>
  </si>
  <si>
    <t>Taxes Other than Income Taxes</t>
  </si>
  <si>
    <t>Payroll</t>
  </si>
  <si>
    <t>Highway and Vehicle</t>
  </si>
  <si>
    <t>Property</t>
  </si>
  <si>
    <t>Gross Receipts</t>
  </si>
  <si>
    <t>Other</t>
  </si>
  <si>
    <t>Income Taxes</t>
  </si>
  <si>
    <t>FERC Form No. 1 Inputs</t>
  </si>
  <si>
    <t>Preferred Stock Issued (204)</t>
  </si>
  <si>
    <t>Unappropriated Undistributed Subsidiary Earnings (216.1)</t>
  </si>
  <si>
    <t>Accumulated Other Comprehensive Income (219)</t>
  </si>
  <si>
    <t>Total Proprietary Capital</t>
  </si>
  <si>
    <t>Unamortized Debt Expenses (181)</t>
  </si>
  <si>
    <t>Unamortized Loss on Reaquired Debt (189)</t>
  </si>
  <si>
    <t>Total Long-Term Debt</t>
  </si>
  <si>
    <t>Unamortized Gain on Reaquired Debt (257)</t>
  </si>
  <si>
    <t>Firm Network Service for Self</t>
  </si>
  <si>
    <t>Firm Network Service for Others</t>
  </si>
  <si>
    <t>Long-Term Firm Point-to-point Reservations</t>
  </si>
  <si>
    <t>Other Long-Term Firm Service</t>
  </si>
  <si>
    <t>Short-Term Firm Point-to-point Reservation</t>
  </si>
  <si>
    <t>Other Service</t>
  </si>
  <si>
    <t>January</t>
  </si>
  <si>
    <t>February</t>
  </si>
  <si>
    <t>March</t>
  </si>
  <si>
    <t>April</t>
  </si>
  <si>
    <t>May</t>
  </si>
  <si>
    <t>June</t>
  </si>
  <si>
    <t>July</t>
  </si>
  <si>
    <t>August</t>
  </si>
  <si>
    <t>September</t>
  </si>
  <si>
    <t>October</t>
  </si>
  <si>
    <t>November</t>
  </si>
  <si>
    <t>December</t>
  </si>
  <si>
    <t>[g]</t>
  </si>
  <si>
    <t>[h]</t>
  </si>
  <si>
    <t>[i]</t>
  </si>
  <si>
    <t>[j]</t>
  </si>
  <si>
    <t>[k]</t>
  </si>
  <si>
    <t>Page 400, Line 1, Column (e)</t>
  </si>
  <si>
    <t>Page 400, Line 2, Column (e)</t>
  </si>
  <si>
    <t>Page 400, Line 3, Column (e)</t>
  </si>
  <si>
    <t>Page 400, Line 5, Column (e)</t>
  </si>
  <si>
    <t>Page 400, Line 6, Column (e)</t>
  </si>
  <si>
    <t>Page 400, Line 7, Column (e)</t>
  </si>
  <si>
    <t>Page 400, Line 9, Column (e)</t>
  </si>
  <si>
    <t>Page 400, Line 10, Column (e)</t>
  </si>
  <si>
    <t>Page 400, Line 11, Column (e)</t>
  </si>
  <si>
    <t>Page 400, Line 13, Column (e)</t>
  </si>
  <si>
    <t>Page 400, Line 14, Column (e)</t>
  </si>
  <si>
    <t>Page 400, Line 15, Column (e)</t>
  </si>
  <si>
    <t>Page 400, Line 1, Column (f)</t>
  </si>
  <si>
    <t>Page 400, Line 2, Column (f)</t>
  </si>
  <si>
    <t>Page 400, Line 3, Column (f)</t>
  </si>
  <si>
    <t>Page 400, Line 5, Column (f)</t>
  </si>
  <si>
    <t>Page 400, Line 6, Column (f)</t>
  </si>
  <si>
    <t>Page 400, Line 7, Column (f)</t>
  </si>
  <si>
    <t>Page 400, Line 9, Column (f)</t>
  </si>
  <si>
    <t>Page 400, Line 10, Column (f)</t>
  </si>
  <si>
    <t>Page 400, Line 11, Column (f)</t>
  </si>
  <si>
    <t>Page 400, Line 13, Column (f)</t>
  </si>
  <si>
    <t>Page 400, Line 14, Column (f)</t>
  </si>
  <si>
    <t>Page 400, Line 15, Column (f)</t>
  </si>
  <si>
    <t>Page 400, Line 1, Column (g)</t>
  </si>
  <si>
    <t>Page 400, Line 2, Column (g)</t>
  </si>
  <si>
    <t>Page 400, Line 3, Column (g)</t>
  </si>
  <si>
    <t>Page 400, Line 5, Column (g)</t>
  </si>
  <si>
    <t>Page 400, Line 6, Column (g)</t>
  </si>
  <si>
    <t>Page 400, Line 7, Column (g)</t>
  </si>
  <si>
    <t>Page 400, Line 9, Column (g)</t>
  </si>
  <si>
    <t>Page 400, Line 10, Column (g)</t>
  </si>
  <si>
    <t>Page 400, Line 11, Column (g)</t>
  </si>
  <si>
    <t>Page 400, Line 13, Column (g)</t>
  </si>
  <si>
    <t>Page 400, Line 14, Column (g)</t>
  </si>
  <si>
    <t>Page 400, Line 15, Column (g)</t>
  </si>
  <si>
    <t>Page 400, Line 1, Column (h)</t>
  </si>
  <si>
    <t>Page 400, Line 2, Column (h)</t>
  </si>
  <si>
    <t>Page 400, Line 3, Column (h)</t>
  </si>
  <si>
    <t>Page 400, Line 5, Column (h)</t>
  </si>
  <si>
    <t>Page 400, Line 6, Column (h)</t>
  </si>
  <si>
    <t>Page 400, Line 7, Column (h)</t>
  </si>
  <si>
    <t>Page 400, Line 9, Column (h)</t>
  </si>
  <si>
    <t>Page 400, Line 10, Column (h)</t>
  </si>
  <si>
    <t>Page 400, Line 11, Column (h)</t>
  </si>
  <si>
    <t>Page 400, Line 13, Column (h)</t>
  </si>
  <si>
    <t>Page 400, Line 14, Column (h)</t>
  </si>
  <si>
    <t>Page 400, Line 15, Column (h)</t>
  </si>
  <si>
    <t>Page 400, Line 1, Column (i)</t>
  </si>
  <si>
    <t>Page 400, Line 2, Column (i)</t>
  </si>
  <si>
    <t>Page 400, Line 3, Column (i)</t>
  </si>
  <si>
    <t>Page 400, Line 5, Column (i)</t>
  </si>
  <si>
    <t>Page 400, Line 6, Column (i)</t>
  </si>
  <si>
    <t>Page 400, Line 7, Column (i)</t>
  </si>
  <si>
    <t>Page 400, Line 9, Column (i)</t>
  </si>
  <si>
    <t>Page 400, Line 10, Column (i)</t>
  </si>
  <si>
    <t>Page 400, Line 11, Column (i)</t>
  </si>
  <si>
    <t>Page 400, Line 13, Column (i)</t>
  </si>
  <si>
    <t>Page 400, Line 14, Column (i)</t>
  </si>
  <si>
    <t>Page 400, Line 15, Column (i)</t>
  </si>
  <si>
    <t>Page 400, Line 1, Column (j)</t>
  </si>
  <si>
    <t>Page 400, Line 2, Column (j)</t>
  </si>
  <si>
    <t>Page 400, Line 3, Column (j)</t>
  </si>
  <si>
    <t>Page 400, Line 5, Column (j)</t>
  </si>
  <si>
    <t>Page 400, Line 6, Column (j)</t>
  </si>
  <si>
    <t>Page 400, Line 7, Column (j)</t>
  </si>
  <si>
    <t>Page 400, Line 9, Column (j)</t>
  </si>
  <si>
    <t>Page 400, Line 10, Column (j)</t>
  </si>
  <si>
    <t>Page 400, Line 11, Column (j)</t>
  </si>
  <si>
    <t>Page 400, Line 13, Column (j)</t>
  </si>
  <si>
    <t>Page 400, Line 14, Column (j)</t>
  </si>
  <si>
    <t>Page 400, Line 15, Column (j)</t>
  </si>
  <si>
    <t>Balance Sheet Inputs</t>
  </si>
  <si>
    <t>End of Year Gross Plant in Service Balances</t>
  </si>
  <si>
    <t>Total Intangible Plant</t>
  </si>
  <si>
    <t>Total Production Plant</t>
  </si>
  <si>
    <t>Total Transmission Plant</t>
  </si>
  <si>
    <t>Total Distribution Plant</t>
  </si>
  <si>
    <t>Total General Plant</t>
  </si>
  <si>
    <t>Beginning of Year Input</t>
  </si>
  <si>
    <t>Current Year/End of Year Input</t>
  </si>
  <si>
    <t xml:space="preserve">Page 111, Line 69, Columns (c) and (d) </t>
  </si>
  <si>
    <t xml:space="preserve">Page 111, Line 81, Columns (c) and (d) </t>
  </si>
  <si>
    <t xml:space="preserve">Page 112, Line 3, Columns (c) and (d) </t>
  </si>
  <si>
    <t xml:space="preserve">Page 112, Line 12, Columns (c) and (d) </t>
  </si>
  <si>
    <t xml:space="preserve">Page 112, Line 15, Columns (c) and (d) </t>
  </si>
  <si>
    <t xml:space="preserve">Page 112, Line 16, Columns (c) and (d) </t>
  </si>
  <si>
    <t xml:space="preserve">Page 112, Line 24, Columns (c) and (d) </t>
  </si>
  <si>
    <t xml:space="preserve">Page 113, Line 61, Columns (c) and (d) </t>
  </si>
  <si>
    <t>Asset Retirement Costs (Transmission Plant)</t>
  </si>
  <si>
    <t>Asset Retirement Costs (Distribution Plant)</t>
  </si>
  <si>
    <t>Asset Retirement Costs (General Plant)</t>
  </si>
  <si>
    <t>Asset Retirement Costs (Steam Production Plant)</t>
  </si>
  <si>
    <t>Asset Retirement Costs (Nuclear Production Plant)</t>
  </si>
  <si>
    <t>Asset Retirement Costs (Hydraulic Production Plant)</t>
  </si>
  <si>
    <t>Asset Retirement Costs (Other Production Plant)</t>
  </si>
  <si>
    <t xml:space="preserve">Pages 204-205, Line 5, Columns (b) and (g) </t>
  </si>
  <si>
    <t xml:space="preserve">Pages 204-205, Line 15, Columns (b) and (g) </t>
  </si>
  <si>
    <t xml:space="preserve">Pages 204-205, Line 24, Columns (b) and (g) </t>
  </si>
  <si>
    <t xml:space="preserve">Pages 204-205, Line 34, Columns (b) and (g) </t>
  </si>
  <si>
    <t xml:space="preserve">Pages 204-205, Line 44, Columns (b) and (g) </t>
  </si>
  <si>
    <t xml:space="preserve">Pages 204-205, Line 46, Columns (b) and (g) </t>
  </si>
  <si>
    <t xml:space="preserve">Pages 206-207, Line 57, Columns (b) and (g) </t>
  </si>
  <si>
    <t xml:space="preserve">Pages 206-207, Line 58, Columns (b) and (g) </t>
  </si>
  <si>
    <t xml:space="preserve">Pages 206-207, Line 74, Columns (b) and (g) </t>
  </si>
  <si>
    <t xml:space="preserve">Pages 206-207, Line 75, Columns (b) and (g) </t>
  </si>
  <si>
    <t xml:space="preserve">Pages 206-207, Line 98, Columns (b) and (g) </t>
  </si>
  <si>
    <t xml:space="preserve">Pages 206-207, Line 99, Columns (b) and (g) </t>
  </si>
  <si>
    <t>End of Year Accumulated Depreciation Balances</t>
  </si>
  <si>
    <t>Steam Production</t>
  </si>
  <si>
    <t>Nuclear Production</t>
  </si>
  <si>
    <t>Hydraulic Production</t>
  </si>
  <si>
    <t>Other Production</t>
  </si>
  <si>
    <t>Transmission</t>
  </si>
  <si>
    <t>Distribution</t>
  </si>
  <si>
    <t>General</t>
  </si>
  <si>
    <t>Page 219, Line 20, Column (c)</t>
  </si>
  <si>
    <t>Page 219, Line 21, Column (c)</t>
  </si>
  <si>
    <t>Page 219, Lines 22+23, Column (c)</t>
  </si>
  <si>
    <t>Page 219, Line 24, Column (c)</t>
  </si>
  <si>
    <t>Page 219, Line 25, Column (c)</t>
  </si>
  <si>
    <t>Page 219, Line 26, Column (c)</t>
  </si>
  <si>
    <t>Page 219, Line 28, Column (c)</t>
  </si>
  <si>
    <t xml:space="preserve">Page 111, Line 57, Columns (c) and (d) </t>
  </si>
  <si>
    <t>Land and Rights Held for Future Use</t>
  </si>
  <si>
    <t>Page 214, Lines 1 through 20, Column (d)</t>
  </si>
  <si>
    <t>Construction Work in Progress</t>
  </si>
  <si>
    <t>Page 216, Line 43, Column (b)</t>
  </si>
  <si>
    <t>Materials and Supplies Balances</t>
  </si>
  <si>
    <t>Stores Expense Undistributed) (163)</t>
  </si>
  <si>
    <t>Transmission Plant (Estimated) (154)</t>
  </si>
  <si>
    <t xml:space="preserve">Page 227, Line 8, Columns (b) and (c) </t>
  </si>
  <si>
    <t xml:space="preserve">Page 227, Line 16, Columns (b) and (c) </t>
  </si>
  <si>
    <t>Account No. 190</t>
  </si>
  <si>
    <t xml:space="preserve">Page 234, Line 8, Columns (b) and (c) </t>
  </si>
  <si>
    <t>Account No. 282</t>
  </si>
  <si>
    <t>Account No. 283</t>
  </si>
  <si>
    <t xml:space="preserve">Pages 274-275, Line 2, Columns (b) and (k) </t>
  </si>
  <si>
    <t xml:space="preserve">Pages 276-277, Line 9, Columns (b) and (k) </t>
  </si>
  <si>
    <t>Accumulated Deferred Income Taxes and ITCs</t>
  </si>
  <si>
    <t>Account No. 255</t>
  </si>
  <si>
    <t xml:space="preserve">Pages 266-267, Line 8, Columns (b) and (h) </t>
  </si>
  <si>
    <t>Operating Expenses</t>
  </si>
  <si>
    <t>Load Dispatch-Reliability (561.1)</t>
  </si>
  <si>
    <t>Load Dispatch-Monitor and Operate Transmission System (561.2)</t>
  </si>
  <si>
    <t>Load Dispatch-Transmission Service and Scheduling (561.3)</t>
  </si>
  <si>
    <t>Scheduling, System Control and Dispatch Services (561.4)</t>
  </si>
  <si>
    <t>Reliability, Planning and Standards Development (561.5)</t>
  </si>
  <si>
    <t>Transmission Service Studies (561.6)</t>
  </si>
  <si>
    <t>Generation Interconnection Studies (561.7)</t>
  </si>
  <si>
    <t>Reliability, Planning and Standards Development Services (561.8)</t>
  </si>
  <si>
    <t>Page 321, Line 85, Column (b)</t>
  </si>
  <si>
    <t>Page 321, Line 86, Column (b)</t>
  </si>
  <si>
    <t>Page 321, Line 87, Column (b)</t>
  </si>
  <si>
    <t>Page 321, Line 88, Column (b)</t>
  </si>
  <si>
    <t>Page 321, Line 89, Column (b)</t>
  </si>
  <si>
    <t>Page 321, Line 90, Column (b)</t>
  </si>
  <si>
    <t>Page 321, Line 91, Column (b)</t>
  </si>
  <si>
    <t>Page 321, Line 92, Column (b)</t>
  </si>
  <si>
    <t>General Advertising Expenses (930.1)</t>
  </si>
  <si>
    <t>Page 323, Line 191, Column (b)</t>
  </si>
  <si>
    <t>Regulatory Commission Expenses</t>
  </si>
  <si>
    <t>Page 321, Line 112, Column (b)</t>
  </si>
  <si>
    <t>Total Transmission Expenses</t>
  </si>
  <si>
    <t>Page 321, Line 96, Column (b)</t>
  </si>
  <si>
    <t>Transmission of Electricity by Others (565)</t>
  </si>
  <si>
    <t>Page 323, Line 197, Column (b)</t>
  </si>
  <si>
    <t>Property Insurance (924)</t>
  </si>
  <si>
    <t>Page 323, Line 185, Column (b)</t>
  </si>
  <si>
    <t>Depreciation and Amortization Charges</t>
  </si>
  <si>
    <t>Total (Intangible Plant)</t>
  </si>
  <si>
    <t>Depreciation Expense for AROs (Intangible Plant)</t>
  </si>
  <si>
    <t>Total (Transmission Plant)</t>
  </si>
  <si>
    <t>Depreciation Expense for AROs (Transmission Plant)</t>
  </si>
  <si>
    <t>Total (General Plant)</t>
  </si>
  <si>
    <t>Depreciation Expense for AROs (General Plant)</t>
  </si>
  <si>
    <t>Page 336, Line 1, Column (f)</t>
  </si>
  <si>
    <t>Page 336, Line 1, Column (c)</t>
  </si>
  <si>
    <t>Page 336, Line 7, Column (f)</t>
  </si>
  <si>
    <t>Page 336, Line 7, Column (c)</t>
  </si>
  <si>
    <t>Page 336, Line 10, Column (f)</t>
  </si>
  <si>
    <t>Page 336, Line 10, Column (c)</t>
  </si>
  <si>
    <t>Attachment H (Actuals)</t>
  </si>
  <si>
    <t>Worksheet A10</t>
  </si>
  <si>
    <t>Type</t>
  </si>
  <si>
    <t>Service Type</t>
  </si>
  <si>
    <t>Ancillary Service</t>
  </si>
  <si>
    <t>Total</t>
  </si>
  <si>
    <t>General and Intangible Plant</t>
  </si>
  <si>
    <t>Production Plant</t>
  </si>
  <si>
    <t>Transmission Plant</t>
  </si>
  <si>
    <t>Distribution Plant</t>
  </si>
  <si>
    <t>WS</t>
  </si>
  <si>
    <t>Firm Network</t>
  </si>
  <si>
    <t>Long Term Firm</t>
  </si>
  <si>
    <t>Other Long Term Firm</t>
  </si>
  <si>
    <t>Short Term Firm Point To Point</t>
  </si>
  <si>
    <t>Non Firm</t>
  </si>
  <si>
    <t>Credit</t>
  </si>
  <si>
    <t>Ancillary</t>
  </si>
  <si>
    <t>LFP</t>
  </si>
  <si>
    <t>OLF</t>
  </si>
  <si>
    <t>SFP</t>
  </si>
  <si>
    <t>NF</t>
  </si>
  <si>
    <t>OS</t>
  </si>
  <si>
    <t>FNO</t>
  </si>
  <si>
    <t>Total Account No. 454 (Rent from Electric Property)</t>
  </si>
  <si>
    <t>Total Account No. 456.1 (Other Electric Revenues)</t>
  </si>
  <si>
    <t>Worksheet A1</t>
  </si>
  <si>
    <t>Affiliate</t>
  </si>
  <si>
    <t>Non-Affiliate</t>
  </si>
  <si>
    <t>[l]</t>
  </si>
  <si>
    <t>[l] = [i] x [k]</t>
  </si>
  <si>
    <t>Company Input/Records</t>
  </si>
  <si>
    <t>FERC Form No. 1 Pages 328-330</t>
  </si>
  <si>
    <t>Notes and Sources:</t>
  </si>
  <si>
    <t>Other Revenues</t>
  </si>
  <si>
    <t>Revenues from Transmission of Electricity of Others (456.1)</t>
  </si>
  <si>
    <t>Rent from Electric Property (454)</t>
  </si>
  <si>
    <t>Page 300, Line 19, Column (b)</t>
  </si>
  <si>
    <t>Page 300, Line 22, Column (b)</t>
  </si>
  <si>
    <t>Ancillary-</t>
  </si>
  <si>
    <t>Divisor-</t>
  </si>
  <si>
    <t>Credit-</t>
  </si>
  <si>
    <t>Ancillary services includes regulation &amp; frequency, control &amp; dispatch, voltage control, reactive, spinning reserve, and scheduling; no revenue credit.</t>
  </si>
  <si>
    <t>Load associated with these revenues are included in the formula divisor; no revenue credit.</t>
  </si>
  <si>
    <t>Revenue credit because the load is not included in divisor.</t>
  </si>
  <si>
    <t>PTP Transmission Schedules 7 &amp; 8</t>
  </si>
  <si>
    <t>Network Transmission Schedule 9</t>
  </si>
  <si>
    <t>[f] = [c] x [e]</t>
  </si>
  <si>
    <t>Worksheet A11</t>
  </si>
  <si>
    <t>Allocation Factors</t>
  </si>
  <si>
    <t>Amount / %</t>
  </si>
  <si>
    <t>=</t>
  </si>
  <si>
    <t>Gross Plant Allocation Factor</t>
  </si>
  <si>
    <t>Total Company</t>
  </si>
  <si>
    <t>Net Plant Allocation Factor</t>
  </si>
  <si>
    <t>NP</t>
  </si>
  <si>
    <t>Gross Transmission Plant in Service</t>
  </si>
  <si>
    <t>Transmission Plant Allocation Factor</t>
  </si>
  <si>
    <t>Wages and Salaries</t>
  </si>
  <si>
    <t>Production</t>
  </si>
  <si>
    <t>Wages and Salaries Allocation Factor</t>
  </si>
  <si>
    <t>Distribution of Salaries and Wages</t>
  </si>
  <si>
    <t>Customer Accounts</t>
  </si>
  <si>
    <t>Customer Service and Informational</t>
  </si>
  <si>
    <t>Sales</t>
  </si>
  <si>
    <t>Page 354, Line 20, Column (b)</t>
  </si>
  <si>
    <t>Page 354, Line 21, Column (b)</t>
  </si>
  <si>
    <t>Page 354, Line 23, Column (b)</t>
  </si>
  <si>
    <t>Page 354, Line 24, Column (b)</t>
  </si>
  <si>
    <t>Page 354, Line 25, Column (b)</t>
  </si>
  <si>
    <t>Page 354, Line 26, Column (b)</t>
  </si>
  <si>
    <t>Plus: Regulatory Commission Expense</t>
  </si>
  <si>
    <t>Worksheet A2</t>
  </si>
  <si>
    <t>Development of Non-Recoverable A&amp;G Expenses</t>
  </si>
  <si>
    <t>Total Non-Recoverable A&amp;G Expenses</t>
  </si>
  <si>
    <t>Page 335, Column (b)</t>
  </si>
  <si>
    <t>5a</t>
  </si>
  <si>
    <t>5b</t>
  </si>
  <si>
    <t>5c</t>
  </si>
  <si>
    <t>…</t>
  </si>
  <si>
    <t>FERC General and Other</t>
  </si>
  <si>
    <t>FERC Annual Fee</t>
  </si>
  <si>
    <t>FERC Audit 2019</t>
  </si>
  <si>
    <t>Total Transmission-Related Regulatory Commission Expenses</t>
  </si>
  <si>
    <t>Plant in Service and Accumulated Depreciation</t>
  </si>
  <si>
    <t>Month</t>
  </si>
  <si>
    <t>100% Network Transmission</t>
  </si>
  <si>
    <t>0% Network Transmission</t>
  </si>
  <si>
    <t>Network Transmission</t>
  </si>
  <si>
    <t>Total Transmission</t>
  </si>
  <si>
    <t>Total Plant</t>
  </si>
  <si>
    <t>13-Month Average</t>
  </si>
  <si>
    <t>Prior December</t>
  </si>
  <si>
    <t>Worksheet A3</t>
  </si>
  <si>
    <t>[f] = [d] + [e]</t>
  </si>
  <si>
    <t>[i]=[b]+[c]+[f]+[g]+[h]</t>
  </si>
  <si>
    <r>
      <t>Gross Plant in Service</t>
    </r>
    <r>
      <rPr>
        <b/>
        <vertAlign val="superscript"/>
        <sz val="12"/>
        <color theme="1"/>
        <rFont val="Times New Roman"/>
        <family val="1"/>
        <scheme val="minor"/>
      </rPr>
      <t>1</t>
    </r>
  </si>
  <si>
    <t>Worksheet A4</t>
  </si>
  <si>
    <t>Total Materials and Supplies</t>
  </si>
  <si>
    <t>Material and Supplies (Transmission)</t>
  </si>
  <si>
    <t>Material and Supplies (Stores Expense)</t>
  </si>
  <si>
    <r>
      <t>Working Capital</t>
    </r>
    <r>
      <rPr>
        <b/>
        <vertAlign val="superscript"/>
        <sz val="12"/>
        <color theme="1"/>
        <rFont val="Times New Roman"/>
        <family val="1"/>
        <scheme val="minor"/>
      </rPr>
      <t>1</t>
    </r>
  </si>
  <si>
    <t>[d] = [b] + [c]</t>
  </si>
  <si>
    <t>Rent from Electric Property (Account No. 454)</t>
  </si>
  <si>
    <t>Other Electric Revenues (Account No. 456.1)</t>
  </si>
  <si>
    <t>Regulatory Assets and Liabilities</t>
  </si>
  <si>
    <t>FERC Account No.</t>
  </si>
  <si>
    <t>FERC Approval Docket</t>
  </si>
  <si>
    <t>Recovery Period (Months)</t>
  </si>
  <si>
    <t>Monthly Amortization Expense</t>
  </si>
  <si>
    <t>Amortization Months in Current Year</t>
  </si>
  <si>
    <t>Current Year Amortization Expense</t>
  </si>
  <si>
    <t>% Approved for Rate Base Treatment</t>
  </si>
  <si>
    <t>Network Transmission Amortization Expense</t>
  </si>
  <si>
    <t>[m]</t>
  </si>
  <si>
    <t>Network Allocator</t>
  </si>
  <si>
    <t>UNAMORTIZED BALANCES</t>
  </si>
  <si>
    <t>[n]</t>
  </si>
  <si>
    <t>[o]</t>
  </si>
  <si>
    <t>[p]</t>
  </si>
  <si>
    <t>[q]</t>
  </si>
  <si>
    <t>[r]</t>
  </si>
  <si>
    <t>[s]</t>
  </si>
  <si>
    <t>[t]</t>
  </si>
  <si>
    <t>[u]</t>
  </si>
  <si>
    <t>[v]</t>
  </si>
  <si>
    <t>[w]</t>
  </si>
  <si>
    <t>[x]</t>
  </si>
  <si>
    <t>[y]</t>
  </si>
  <si>
    <t>[z]</t>
  </si>
  <si>
    <t>13-Month Avg. Unamortized Balance</t>
  </si>
  <si>
    <t>Network Transmission Unamortized Balance</t>
  </si>
  <si>
    <t>[bb]</t>
  </si>
  <si>
    <t>1a</t>
  </si>
  <si>
    <t>1b</t>
  </si>
  <si>
    <t>1c</t>
  </si>
  <si>
    <t>Asset</t>
  </si>
  <si>
    <t>Liability</t>
  </si>
  <si>
    <t>[g]=[e]/[f]</t>
  </si>
  <si>
    <t>[m]=[i]x[j]x[l]</t>
  </si>
  <si>
    <t>[h]=If [n]/[g] &lt;12, [n]/[g]. Otherwise, 12</t>
  </si>
  <si>
    <t>[aa]=Avg. ([n] through [z])</t>
  </si>
  <si>
    <t>Total Regulatory Assets</t>
  </si>
  <si>
    <t>Total Regulatory Liabilities</t>
  </si>
  <si>
    <t>Worksheet A5</t>
  </si>
  <si>
    <t>[i]=[g]x[h]</t>
  </si>
  <si>
    <t>Amortization of Regulatory Liabilities</t>
  </si>
  <si>
    <t>Amortization of Regulatory Assets</t>
  </si>
  <si>
    <t>Land and Land Rights Held for Future Use</t>
  </si>
  <si>
    <t>BALANCES</t>
  </si>
  <si>
    <t>Average Land Held for Future Use</t>
  </si>
  <si>
    <t>[q]=Avg. ([d] through [p])</t>
  </si>
  <si>
    <t>Network Transmission Balance</t>
  </si>
  <si>
    <t>[t]=[q]x[s]</t>
  </si>
  <si>
    <t>Network Allocator Justification</t>
  </si>
  <si>
    <t>Worksheet A6</t>
  </si>
  <si>
    <t>Worksheet A7</t>
  </si>
  <si>
    <t>Construction Start Date</t>
  </si>
  <si>
    <t>[s]=Avg. ([f] through [r])</t>
  </si>
  <si>
    <t>[v]=[s]x[c]x[u]</t>
  </si>
  <si>
    <t>Worksheet A8</t>
  </si>
  <si>
    <t>Abandoned Plant</t>
  </si>
  <si>
    <t>[f]=[d]/[e]</t>
  </si>
  <si>
    <t>[h]=[f]x[g]</t>
  </si>
  <si>
    <t>[l]=[h]x[i]x[k]</t>
  </si>
  <si>
    <t>[z]=Avg. ([m] through [y])</t>
  </si>
  <si>
    <t>[cc]</t>
  </si>
  <si>
    <t>[g]=If [m]/[f] &lt;12, [m]/[f]. Otherwise, 12</t>
  </si>
  <si>
    <t>Operating Expense Adjustments</t>
  </si>
  <si>
    <t>Development of Network Transmission Regulatory Commission Expenses</t>
  </si>
  <si>
    <t>Unfunded Reserves</t>
  </si>
  <si>
    <t>Worksheet A9</t>
  </si>
  <si>
    <t>Subaccount No.</t>
  </si>
  <si>
    <t>% Customer Funded</t>
  </si>
  <si>
    <t>% Non-Restricted</t>
  </si>
  <si>
    <t>[r]=Avg. ([e] through [q])</t>
  </si>
  <si>
    <t>Average Unfunded Reserves</t>
  </si>
  <si>
    <t>[u]=[r]x[c]x[d]x[t]</t>
  </si>
  <si>
    <t>1d</t>
  </si>
  <si>
    <t>1e</t>
  </si>
  <si>
    <t>1f</t>
  </si>
  <si>
    <t>1g</t>
  </si>
  <si>
    <t>1h</t>
  </si>
  <si>
    <t>1i</t>
  </si>
  <si>
    <t>1j</t>
  </si>
  <si>
    <t>1k</t>
  </si>
  <si>
    <t>1l</t>
  </si>
  <si>
    <t>1m</t>
  </si>
  <si>
    <t>1n</t>
  </si>
  <si>
    <t>1o</t>
  </si>
  <si>
    <t>1p</t>
  </si>
  <si>
    <t>1q</t>
  </si>
  <si>
    <t>1r</t>
  </si>
  <si>
    <t>1s</t>
  </si>
  <si>
    <t>1t</t>
  </si>
  <si>
    <t>1u</t>
  </si>
  <si>
    <t>1v</t>
  </si>
  <si>
    <t>1w</t>
  </si>
  <si>
    <t>1x</t>
  </si>
  <si>
    <t>1y</t>
  </si>
  <si>
    <t>1zz</t>
  </si>
  <si>
    <t>AOCI Amortization of Debt Costs</t>
  </si>
  <si>
    <t>AOCI Decommissioning Costs</t>
  </si>
  <si>
    <t>AOCI Retirement Plans</t>
  </si>
  <si>
    <t>Capitalized Interest</t>
  </si>
  <si>
    <t>CIAC</t>
  </si>
  <si>
    <t>Coal Reclamation Costs</t>
  </si>
  <si>
    <t>Decommissioning Costs</t>
  </si>
  <si>
    <t>Deferred Fuel FERC</t>
  </si>
  <si>
    <t>Deferred Fuel NM</t>
  </si>
  <si>
    <t>Deferred Fuel TX</t>
  </si>
  <si>
    <t>Depreciation Differences</t>
  </si>
  <si>
    <t>Excess Deferred Taxes Fed</t>
  </si>
  <si>
    <t>ITC</t>
  </si>
  <si>
    <t>NOL Carryforward - AZ</t>
  </si>
  <si>
    <t>NOL Carryforward - Federal</t>
  </si>
  <si>
    <t>NOL Carryforward - NM</t>
  </si>
  <si>
    <t>Other Employee Benefits</t>
  </si>
  <si>
    <t>R &amp; D Credit</t>
  </si>
  <si>
    <t>Retirement Plans</t>
  </si>
  <si>
    <t>SFAS 143 ARO</t>
  </si>
  <si>
    <t>Strategic Costs</t>
  </si>
  <si>
    <t>Taxes Other Than Federal Income Tax</t>
  </si>
  <si>
    <t>Unbilled Revenue</t>
  </si>
  <si>
    <r>
      <t>Accumulated Deferred Income Taxes (Account No. 190)</t>
    </r>
    <r>
      <rPr>
        <b/>
        <vertAlign val="superscript"/>
        <sz val="12"/>
        <color theme="1"/>
        <rFont val="Times New Roman"/>
        <family val="1"/>
        <scheme val="minor"/>
      </rPr>
      <t>1</t>
    </r>
  </si>
  <si>
    <t>ABFUDC - CWIP</t>
  </si>
  <si>
    <t>AEFUDC</t>
  </si>
  <si>
    <t>AEFUDC - CWIP</t>
  </si>
  <si>
    <t>Nuclear Fuel</t>
  </si>
  <si>
    <t>Repair Allowance</t>
  </si>
  <si>
    <t>Section 174 R&amp;D</t>
  </si>
  <si>
    <t>3a</t>
  </si>
  <si>
    <t>3zz</t>
  </si>
  <si>
    <t>5d</t>
  </si>
  <si>
    <t>5e</t>
  </si>
  <si>
    <t>5f</t>
  </si>
  <si>
    <t>5g</t>
  </si>
  <si>
    <t>5h</t>
  </si>
  <si>
    <t>5zz</t>
  </si>
  <si>
    <t>Amortization of Debt Costs</t>
  </si>
  <si>
    <t>Excess Deferred Taxes State</t>
  </si>
  <si>
    <t>Amortization Period / Methodology</t>
  </si>
  <si>
    <t>Reverse South Georgia</t>
  </si>
  <si>
    <t>ARAM</t>
  </si>
  <si>
    <t>Excess Deferred SIT - Tax Rate Change 2017</t>
  </si>
  <si>
    <t>Excess Deferred SIT - Tax Rate Change 2018</t>
  </si>
  <si>
    <t>Excess Deferred FIT - Tax Rate Change 1989</t>
  </si>
  <si>
    <t>Deficient Deferred FIT - Tax Rate Change 1993</t>
  </si>
  <si>
    <t>Worksheet A12</t>
  </si>
  <si>
    <t>Payroll Taxes</t>
  </si>
  <si>
    <t>Taxes Charged</t>
  </si>
  <si>
    <t>FUTA</t>
  </si>
  <si>
    <t>Ln. 4</t>
  </si>
  <si>
    <t>Insurance Contributions</t>
  </si>
  <si>
    <t>Ln. 5</t>
  </si>
  <si>
    <t>Unemployment</t>
  </si>
  <si>
    <t>Ln. 11</t>
  </si>
  <si>
    <t>Ln. 21</t>
  </si>
  <si>
    <t>Jurisdiction</t>
  </si>
  <si>
    <t>Federal</t>
  </si>
  <si>
    <t>New Mexico</t>
  </si>
  <si>
    <t>Ln. 37</t>
  </si>
  <si>
    <t>Palo Verde Payroll Taxes</t>
  </si>
  <si>
    <t>Arizona</t>
  </si>
  <si>
    <t>Highway and Vehicle Taxes</t>
  </si>
  <si>
    <t>Property Taxes</t>
  </si>
  <si>
    <t>Ln. 9</t>
  </si>
  <si>
    <t>Ad Valorem</t>
  </si>
  <si>
    <t>Texas</t>
  </si>
  <si>
    <t>Ln. 19</t>
  </si>
  <si>
    <t>Ln. 35</t>
  </si>
  <si>
    <t>7a</t>
  </si>
  <si>
    <t>7zz</t>
  </si>
  <si>
    <t>Ln. 10</t>
  </si>
  <si>
    <t>Other Taxes</t>
  </si>
  <si>
    <t>Gross Receipts Taxes</t>
  </si>
  <si>
    <t>9a</t>
  </si>
  <si>
    <t>9b</t>
  </si>
  <si>
    <t>9c</t>
  </si>
  <si>
    <t>9d</t>
  </si>
  <si>
    <t>9e</t>
  </si>
  <si>
    <t>9zz</t>
  </si>
  <si>
    <t>Total Taxes Other than Income Taxes</t>
  </si>
  <si>
    <t>Ln. 13</t>
  </si>
  <si>
    <t>Use Tax</t>
  </si>
  <si>
    <t>Ln. 22</t>
  </si>
  <si>
    <t>Compensating</t>
  </si>
  <si>
    <t>Ln. 30</t>
  </si>
  <si>
    <t>Source</t>
  </si>
  <si>
    <t>Percent of Federal Income Deductible for State Tax Purposes (p)</t>
  </si>
  <si>
    <t>Federal Income Tax Rate (FIT)</t>
  </si>
  <si>
    <t>Blended State Income Tax Rate (SIT)</t>
  </si>
  <si>
    <t>Composite Income Tax Rate (T)</t>
  </si>
  <si>
    <t>Worksheet A13</t>
  </si>
  <si>
    <t>Weighted Average Cost of Capital</t>
  </si>
  <si>
    <t>Return on Rate Base</t>
  </si>
  <si>
    <t>Weighted Cost of Long-Term Debt</t>
  </si>
  <si>
    <t>Weighted Cost of Common Equity</t>
  </si>
  <si>
    <t>Permanent Differences</t>
  </si>
  <si>
    <t>Income Tax on Equity Return</t>
  </si>
  <si>
    <t>Total Income Taxes</t>
  </si>
  <si>
    <t>Tax Adjustment-Excess/Deficient Deferred Income Taxes</t>
  </si>
  <si>
    <t>Tax Adjustment-Permanent Differences</t>
  </si>
  <si>
    <t>Interest Expense</t>
  </si>
  <si>
    <t>Return on Equity</t>
  </si>
  <si>
    <t>Total Return on Rate Base</t>
  </si>
  <si>
    <t>Worksheet A14</t>
  </si>
  <si>
    <t>Cost of Capital</t>
  </si>
  <si>
    <t>Total Common Stock</t>
  </si>
  <si>
    <t>[f] = [e]-[b]-[c]-[d]</t>
  </si>
  <si>
    <t>Interest Charges</t>
  </si>
  <si>
    <t>Interest on Long-Term Debt (427)</t>
  </si>
  <si>
    <t>Amortization of Debt Discount and Expense (428)</t>
  </si>
  <si>
    <t>Amortization of Gain on Reaquired Debt-Credit (429.1)</t>
  </si>
  <si>
    <t>Amortization of Premium on Debt-Credit (429)</t>
  </si>
  <si>
    <t>Interest on Debt to Associated Companies (430)</t>
  </si>
  <si>
    <t>Page 117, Line 62, Column (c)</t>
  </si>
  <si>
    <t>Page 117, Line 63, Column (c)</t>
  </si>
  <si>
    <t>Page 117, Line 64, Column (c)</t>
  </si>
  <si>
    <t>Page 117, Line 65, Column (c)</t>
  </si>
  <si>
    <t>Page 117, Line 66, Column (c)</t>
  </si>
  <si>
    <t>Page 117, Line 67, Column (c)</t>
  </si>
  <si>
    <t>Composite Income Tax Rate Gross-Up Rate</t>
  </si>
  <si>
    <t>Income Tax Computations</t>
  </si>
  <si>
    <t>Worksheet A15</t>
  </si>
  <si>
    <t>Network Transmission Load (MW)</t>
  </si>
  <si>
    <t>Firm Network for Self</t>
  </si>
  <si>
    <t>Long-Term Firm Point to Point Reservations</t>
  </si>
  <si>
    <t>Short Term Firm Point to Point Reservation</t>
  </si>
  <si>
    <t>Transmission System Peak Load</t>
  </si>
  <si>
    <t>[h]=Sum([b]-[g])</t>
  </si>
  <si>
    <t>12-Month Total</t>
  </si>
  <si>
    <t>[i]=[h]-[f]</t>
  </si>
  <si>
    <t>Worksheet A16</t>
  </si>
  <si>
    <t>Permanent Book-Tax Differences</t>
  </si>
  <si>
    <t xml:space="preserve">Network Transmission </t>
  </si>
  <si>
    <t>Non-Deductible Officer Compensation</t>
  </si>
  <si>
    <t>Stock Incentive Plans</t>
  </si>
  <si>
    <t>AFUDC Equity</t>
  </si>
  <si>
    <t>Worksheet A17</t>
  </si>
  <si>
    <t>Hold Harmless Adjustments</t>
  </si>
  <si>
    <t>FERC Merger / Acquisition Docket</t>
  </si>
  <si>
    <t>Network Transmission Expense Adjustment</t>
  </si>
  <si>
    <t>Annual Expense Adjustment</t>
  </si>
  <si>
    <t>[g] = [d] x [f]</t>
  </si>
  <si>
    <t>[u]=Avg. ([h] through [t])</t>
  </si>
  <si>
    <t>13-Month Avg. Balance</t>
  </si>
  <si>
    <t>MONTHLY RATE BASE BALANCE ADJUSTMENT</t>
  </si>
  <si>
    <t>[v] = [f] x [u]</t>
  </si>
  <si>
    <t>Worksheet A18</t>
  </si>
  <si>
    <t>Worksheet A19</t>
  </si>
  <si>
    <t>Page 323, Line 189, Column (b)</t>
  </si>
  <si>
    <t>Incentive Return</t>
  </si>
  <si>
    <t>Weighted ROE Incentive</t>
  </si>
  <si>
    <t>[e]=[c]x[d]</t>
  </si>
  <si>
    <t>GROSS PLANT IN SERVICE</t>
  </si>
  <si>
    <t>ACCUMULATED DEPRECIATION</t>
  </si>
  <si>
    <t>[aa]</t>
  </si>
  <si>
    <t>[dd]</t>
  </si>
  <si>
    <t>[ee]</t>
  </si>
  <si>
    <t>[ff]</t>
  </si>
  <si>
    <t>[gg]</t>
  </si>
  <si>
    <t>[hh]</t>
  </si>
  <si>
    <t>13-Month Avg. Gross Plant</t>
  </si>
  <si>
    <t>13-Month Avg. Accum. Depreciation</t>
  </si>
  <si>
    <t>Network Transmission Gross Plant</t>
  </si>
  <si>
    <t>Network Transmission Accum. Depreciation</t>
  </si>
  <si>
    <t>Network Transmission Net Plant</t>
  </si>
  <si>
    <t>Incentive Taxes</t>
  </si>
  <si>
    <t>Incentive Return and Taxes</t>
  </si>
  <si>
    <t>[oo]</t>
  </si>
  <si>
    <t>[rr]</t>
  </si>
  <si>
    <t>Total Capitalization</t>
  </si>
  <si>
    <t>Less: Actual OPEB Expense</t>
  </si>
  <si>
    <t>Plus: Fixed OPEB Expense</t>
  </si>
  <si>
    <t>7b</t>
  </si>
  <si>
    <t>7c</t>
  </si>
  <si>
    <t>A&amp;G (Excluding Property Insurance and Regulatory Commission Expense)</t>
  </si>
  <si>
    <t>Total Production</t>
  </si>
  <si>
    <t>Total Distribution</t>
  </si>
  <si>
    <t>Total General</t>
  </si>
  <si>
    <t>Total Intangible</t>
  </si>
  <si>
    <t>Fixed $0</t>
  </si>
  <si>
    <t>Reference for BOY/EOY Balances</t>
  </si>
  <si>
    <t>Col. [f] - Col. [e]</t>
  </si>
  <si>
    <t>Company Input / Records</t>
  </si>
  <si>
    <r>
      <t>Gross Plant in Service (AROs)</t>
    </r>
    <r>
      <rPr>
        <b/>
        <vertAlign val="superscript"/>
        <sz val="12"/>
        <color theme="1"/>
        <rFont val="Times New Roman"/>
        <family val="1"/>
        <scheme val="minor"/>
      </rPr>
      <t>1, 2</t>
    </r>
  </si>
  <si>
    <t>Unless otherwise stated, source of shaded cells is company input/records.</t>
  </si>
  <si>
    <t>Monthly ARO balances for the intangible plant function are fixed at $0.</t>
  </si>
  <si>
    <r>
      <t>Accumulated Depreciation (AROs)</t>
    </r>
    <r>
      <rPr>
        <b/>
        <vertAlign val="superscript"/>
        <sz val="12"/>
        <color theme="1"/>
        <rFont val="Times New Roman"/>
        <family val="1"/>
        <scheme val="minor"/>
      </rPr>
      <t>1, 2</t>
    </r>
  </si>
  <si>
    <r>
      <t>Accumulated Depreciation</t>
    </r>
    <r>
      <rPr>
        <b/>
        <vertAlign val="superscript"/>
        <sz val="12"/>
        <color theme="1"/>
        <rFont val="Times New Roman"/>
        <family val="1"/>
        <scheme val="minor"/>
      </rPr>
      <t>1, 3</t>
    </r>
  </si>
  <si>
    <t>[cc]=[aa]x[l]x[bb]</t>
  </si>
  <si>
    <r>
      <t>Amount</t>
    </r>
    <r>
      <rPr>
        <vertAlign val="superscript"/>
        <sz val="12"/>
        <color theme="1"/>
        <rFont val="Times New Roman"/>
        <family val="1"/>
        <scheme val="minor"/>
      </rPr>
      <t>2</t>
    </r>
  </si>
  <si>
    <r>
      <t>% Approved for Rate Recovery</t>
    </r>
    <r>
      <rPr>
        <vertAlign val="superscript"/>
        <sz val="9"/>
        <color theme="1"/>
        <rFont val="Times New Roman"/>
        <family val="1"/>
        <scheme val="minor"/>
      </rPr>
      <t>3</t>
    </r>
  </si>
  <si>
    <r>
      <t>Type</t>
    </r>
    <r>
      <rPr>
        <vertAlign val="superscript"/>
        <sz val="12"/>
        <color theme="1"/>
        <rFont val="Times New Roman"/>
        <family val="1"/>
        <scheme val="minor"/>
      </rPr>
      <t>2</t>
    </r>
  </si>
  <si>
    <r>
      <t>Amount</t>
    </r>
    <r>
      <rPr>
        <vertAlign val="superscript"/>
        <sz val="12"/>
        <color theme="1"/>
        <rFont val="Times New Roman"/>
        <family val="1"/>
        <scheme val="minor"/>
      </rPr>
      <t>3</t>
    </r>
  </si>
  <si>
    <r>
      <t>% Approved for Rate Recovery</t>
    </r>
    <r>
      <rPr>
        <vertAlign val="superscript"/>
        <sz val="10"/>
        <color theme="1"/>
        <rFont val="Times New Roman"/>
        <family val="1"/>
        <scheme val="minor"/>
      </rPr>
      <t>4</t>
    </r>
  </si>
  <si>
    <r>
      <t>% Approved for Rate Base Treatment</t>
    </r>
    <r>
      <rPr>
        <vertAlign val="superscript"/>
        <sz val="10"/>
        <color theme="1"/>
        <rFont val="Times New Roman"/>
        <family val="1"/>
        <scheme val="minor"/>
      </rPr>
      <t>5</t>
    </r>
  </si>
  <si>
    <r>
      <t>Network Allocator Justification</t>
    </r>
    <r>
      <rPr>
        <vertAlign val="superscript"/>
        <sz val="12"/>
        <color theme="1"/>
        <rFont val="Times New Roman"/>
        <family val="1"/>
        <scheme val="minor"/>
      </rPr>
      <t>6</t>
    </r>
  </si>
  <si>
    <t>Total amount of regulatory asset/liability should be listed.</t>
  </si>
  <si>
    <r>
      <t>Description</t>
    </r>
    <r>
      <rPr>
        <vertAlign val="superscript"/>
        <sz val="12"/>
        <color theme="1"/>
        <rFont val="Times New Roman"/>
        <family val="1"/>
        <scheme val="minor"/>
      </rPr>
      <t>2</t>
    </r>
  </si>
  <si>
    <r>
      <t>Definite Plan for Future Use</t>
    </r>
    <r>
      <rPr>
        <vertAlign val="superscript"/>
        <sz val="12"/>
        <color theme="1"/>
        <rFont val="Times New Roman"/>
        <family val="1"/>
        <scheme val="minor"/>
      </rPr>
      <t>2</t>
    </r>
  </si>
  <si>
    <r>
      <t>Network Allocator Justification</t>
    </r>
    <r>
      <rPr>
        <vertAlign val="superscript"/>
        <sz val="12"/>
        <color theme="1"/>
        <rFont val="Times New Roman"/>
        <family val="1"/>
        <scheme val="minor"/>
      </rPr>
      <t>3</t>
    </r>
  </si>
  <si>
    <r>
      <rPr>
        <sz val="12"/>
        <color theme="1"/>
        <rFont val="Times New Roman"/>
        <family val="1"/>
        <scheme val="minor"/>
      </rPr>
      <t>Network</t>
    </r>
    <r>
      <rPr>
        <u/>
        <sz val="12"/>
        <color theme="1"/>
        <rFont val="Times New Roman"/>
        <family val="2"/>
        <scheme val="minor"/>
      </rPr>
      <t xml:space="preserve"> Allocator</t>
    </r>
  </si>
  <si>
    <r>
      <t>Account No. 454 (Rent from Electric Property)</t>
    </r>
    <r>
      <rPr>
        <b/>
        <vertAlign val="superscript"/>
        <sz val="12"/>
        <color theme="1"/>
        <rFont val="Times New Roman"/>
        <family val="1"/>
        <scheme val="minor"/>
      </rPr>
      <t>2</t>
    </r>
  </si>
  <si>
    <r>
      <t>Other Electric Revenues by Type</t>
    </r>
    <r>
      <rPr>
        <b/>
        <vertAlign val="superscript"/>
        <sz val="12"/>
        <color theme="1"/>
        <rFont val="Times New Roman"/>
        <family val="1"/>
        <scheme val="minor"/>
      </rPr>
      <t>4</t>
    </r>
  </si>
  <si>
    <r>
      <t>Estimated In-Service Date</t>
    </r>
    <r>
      <rPr>
        <vertAlign val="superscript"/>
        <sz val="11"/>
        <color theme="1"/>
        <rFont val="Times New Roman"/>
        <family val="1"/>
        <scheme val="minor"/>
      </rPr>
      <t>2</t>
    </r>
  </si>
  <si>
    <t>Estimated In-Service Date</t>
  </si>
  <si>
    <r>
      <t>Recovery % Approved</t>
    </r>
    <r>
      <rPr>
        <vertAlign val="superscript"/>
        <sz val="12"/>
        <color theme="1"/>
        <rFont val="Times New Roman"/>
        <family val="1"/>
        <scheme val="minor"/>
      </rPr>
      <t>3</t>
    </r>
  </si>
  <si>
    <r>
      <t>Network Allocator Justification</t>
    </r>
    <r>
      <rPr>
        <vertAlign val="superscript"/>
        <sz val="12"/>
        <color theme="1"/>
        <rFont val="Times New Roman"/>
        <family val="1"/>
        <scheme val="minor"/>
      </rPr>
      <t>4</t>
    </r>
  </si>
  <si>
    <t>Average CWIP</t>
  </si>
  <si>
    <t>[bb]=[z]x[aa]x[k]</t>
  </si>
  <si>
    <t>Total amount of abandoned plant should be listed.</t>
  </si>
  <si>
    <r>
      <t>% Approved for Rate Base Treatment</t>
    </r>
    <r>
      <rPr>
        <vertAlign val="superscript"/>
        <sz val="9"/>
        <color theme="1"/>
        <rFont val="Times New Roman"/>
        <family val="1"/>
        <scheme val="minor"/>
      </rPr>
      <t>4</t>
    </r>
  </si>
  <si>
    <r>
      <t>Network Allocator Justification</t>
    </r>
    <r>
      <rPr>
        <vertAlign val="superscript"/>
        <sz val="12"/>
        <color theme="1"/>
        <rFont val="Times New Roman"/>
        <family val="1"/>
        <scheme val="minor"/>
      </rPr>
      <t>5</t>
    </r>
  </si>
  <si>
    <t>Alternative Minimum Tax Credit Carryforward</t>
  </si>
  <si>
    <t>CIACs not included in network transmission rates</t>
  </si>
  <si>
    <t>AROs not included in network transmission rates</t>
  </si>
  <si>
    <t>Four Corners Generation Station land reclamation (production-related)</t>
  </si>
  <si>
    <r>
      <t xml:space="preserve">ADIT for NOL includable in rate base. </t>
    </r>
    <r>
      <rPr>
        <i/>
        <sz val="12"/>
        <color theme="1"/>
        <rFont val="Times New Roman"/>
        <family val="1"/>
        <scheme val="minor"/>
      </rPr>
      <t>Kern River Gas Transmission Co.</t>
    </r>
    <r>
      <rPr>
        <sz val="12"/>
        <color theme="1"/>
        <rFont val="Times New Roman"/>
        <family val="2"/>
        <scheme val="minor"/>
      </rPr>
      <t xml:space="preserve">, 117 FERC </t>
    </r>
    <r>
      <rPr>
        <sz val="12"/>
        <color theme="1"/>
        <rFont val="Calibri"/>
        <family val="2"/>
      </rPr>
      <t>¶</t>
    </r>
    <r>
      <rPr>
        <sz val="12"/>
        <color theme="1"/>
        <rFont val="Times New Roman"/>
        <family val="2"/>
      </rPr>
      <t xml:space="preserve"> 61,077</t>
    </r>
  </si>
  <si>
    <t>No CWIP included in rate base</t>
  </si>
  <si>
    <t>Corresponding Account 182.3 regulatory asset excluded from rate base</t>
  </si>
  <si>
    <t>Accelerated/straight-line depreciation differences</t>
  </si>
  <si>
    <t>Production-related</t>
  </si>
  <si>
    <t>Tax deduction (expense) for repairs in the year in which the expenditures are incurred</t>
  </si>
  <si>
    <t>Tax deduction (expense) for R&amp;D in the year in which the expenditures are incurred</t>
  </si>
  <si>
    <t>Worksheet A20</t>
  </si>
  <si>
    <r>
      <t>Accumulated Deferred Income Taxes - Other Property (Account No. 282)</t>
    </r>
    <r>
      <rPr>
        <b/>
        <vertAlign val="superscript"/>
        <sz val="12"/>
        <color theme="1"/>
        <rFont val="Times New Roman"/>
        <family val="1"/>
        <scheme val="minor"/>
      </rPr>
      <t>1</t>
    </r>
  </si>
  <si>
    <r>
      <t>Accumulated Deferred Income Taxes - Other (Account No. 283)</t>
    </r>
    <r>
      <rPr>
        <b/>
        <vertAlign val="superscript"/>
        <sz val="12"/>
        <color theme="1"/>
        <rFont val="Times New Roman"/>
        <family val="1"/>
        <scheme val="minor"/>
      </rPr>
      <t>1</t>
    </r>
  </si>
  <si>
    <t>Reference for Monthly Loads</t>
  </si>
  <si>
    <t>https://taxfoundation.org/state-corporate-income-tax-rates-brackets-2020/</t>
  </si>
  <si>
    <t>State Deduction for Federal Income Tax Purposes</t>
  </si>
  <si>
    <r>
      <t>Capitalization Ratio</t>
    </r>
    <r>
      <rPr>
        <vertAlign val="superscript"/>
        <sz val="12"/>
        <color theme="1"/>
        <rFont val="Times New Roman"/>
        <family val="1"/>
        <scheme val="minor"/>
      </rPr>
      <t>2</t>
    </r>
  </si>
  <si>
    <r>
      <t>Cost of Capital</t>
    </r>
    <r>
      <rPr>
        <vertAlign val="superscript"/>
        <sz val="12"/>
        <color theme="1"/>
        <rFont val="Times New Roman"/>
        <family val="1"/>
        <scheme val="minor"/>
      </rPr>
      <t>3</t>
    </r>
  </si>
  <si>
    <t>Annual Interest Expense</t>
  </si>
  <si>
    <t>FF1 Line Reference</t>
  </si>
  <si>
    <r>
      <t>Fixed Percentage</t>
    </r>
    <r>
      <rPr>
        <vertAlign val="superscript"/>
        <sz val="12"/>
        <color theme="1"/>
        <rFont val="Times New Roman"/>
        <family val="1"/>
        <scheme val="minor"/>
      </rPr>
      <t>1</t>
    </r>
  </si>
  <si>
    <t>Account No.</t>
  </si>
  <si>
    <t>Account Description</t>
  </si>
  <si>
    <t>Depreciation and Amortization Rates</t>
  </si>
  <si>
    <t>Officer compensation included in A&amp;G expenses</t>
  </si>
  <si>
    <t>Employee compensation related to stock incentive plans included in A&amp;G expenses</t>
  </si>
  <si>
    <t>Meals and entertainment included in A&amp;G expenses</t>
  </si>
  <si>
    <r>
      <t>Permanent Book-Tax Differences</t>
    </r>
    <r>
      <rPr>
        <b/>
        <vertAlign val="superscript"/>
        <sz val="12"/>
        <color theme="1"/>
        <rFont val="Times New Roman"/>
        <family val="1"/>
        <scheme val="minor"/>
      </rPr>
      <t>2</t>
    </r>
  </si>
  <si>
    <r>
      <t>Federal Income Tax Rate (FIT)</t>
    </r>
    <r>
      <rPr>
        <vertAlign val="superscript"/>
        <sz val="12"/>
        <color theme="1"/>
        <rFont val="Times New Roman"/>
        <family val="1"/>
        <scheme val="minor"/>
      </rPr>
      <t>4</t>
    </r>
  </si>
  <si>
    <t>Meals and Entertainment</t>
  </si>
  <si>
    <r>
      <t xml:space="preserve">AFUDC Equity includable as a permanent difference. </t>
    </r>
    <r>
      <rPr>
        <i/>
        <sz val="12"/>
        <color theme="1"/>
        <rFont val="Times New Roman"/>
        <family val="1"/>
        <scheme val="minor"/>
      </rPr>
      <t>MISO, Inc.</t>
    </r>
    <r>
      <rPr>
        <sz val="12"/>
        <color theme="1"/>
        <rFont val="Times New Roman"/>
        <family val="2"/>
        <scheme val="minor"/>
      </rPr>
      <t>, 163 FERC ¶ 61,163 (2018)</t>
    </r>
  </si>
  <si>
    <r>
      <t>Tax Credits</t>
    </r>
    <r>
      <rPr>
        <vertAlign val="superscript"/>
        <sz val="12"/>
        <color theme="1"/>
        <rFont val="Times New Roman"/>
        <family val="1"/>
        <scheme val="minor"/>
      </rPr>
      <t>5</t>
    </r>
  </si>
  <si>
    <t>Plant-related</t>
  </si>
  <si>
    <t>Amortization of Loss on Reaquired Debt (428.1)</t>
  </si>
  <si>
    <t>(427 + 428 + 428.1 - 429 - 429.1 + 430)</t>
  </si>
  <si>
    <t>[h]=[f]+[g]</t>
  </si>
  <si>
    <r>
      <rPr>
        <b/>
        <sz val="12"/>
        <color theme="1"/>
        <rFont val="Times New Roman"/>
        <family val="1"/>
        <scheme val="minor"/>
      </rPr>
      <t>Total Long-Term Debt</t>
    </r>
    <r>
      <rPr>
        <sz val="12"/>
        <color theme="1"/>
        <rFont val="Times New Roman"/>
        <family val="2"/>
        <scheme val="minor"/>
      </rPr>
      <t xml:space="preserve">                          (221 - 222 + 223 + 224 + 225 - 226)</t>
    </r>
  </si>
  <si>
    <t>Capitalization ratios derived by diving the total common stock and long-term debt averages on line 15, columns [f] and [g], respectively, by the total capitalization average shown on line 15, column [h].</t>
  </si>
  <si>
    <t>This worksheet allows for the removal of any amounts pursuant to a hold harmless agreement in merger or acquisition proceedings before the Commission. This worksheet will only be populated with the required information if the Commission approves such an agreement. The docket number associated with such Commission approval must be listed.</t>
  </si>
  <si>
    <t>Incentive Plant Return and Taxes</t>
  </si>
  <si>
    <t>Worksheet A21</t>
  </si>
  <si>
    <r>
      <t>Project Name</t>
    </r>
    <r>
      <rPr>
        <vertAlign val="superscript"/>
        <sz val="12"/>
        <color theme="1"/>
        <rFont val="Times New Roman"/>
        <family val="1"/>
        <scheme val="minor"/>
      </rPr>
      <t>2</t>
    </r>
  </si>
  <si>
    <r>
      <t>FERC Approval Docket</t>
    </r>
    <r>
      <rPr>
        <vertAlign val="superscript"/>
        <sz val="9"/>
        <color theme="1"/>
        <rFont val="Times New Roman"/>
        <family val="1"/>
        <scheme val="minor"/>
      </rPr>
      <t>2</t>
    </r>
  </si>
  <si>
    <r>
      <t>ROE Incentive Approved</t>
    </r>
    <r>
      <rPr>
        <vertAlign val="superscript"/>
        <sz val="12"/>
        <color theme="1"/>
        <rFont val="Times New Roman"/>
        <family val="1"/>
        <scheme val="minor"/>
      </rPr>
      <t>2</t>
    </r>
  </si>
  <si>
    <t>All project-specific incentive ROE requires Commission authorization. No amounts may be included on this worksheet absent Commission authortization. The Commission docket in which incentive ROE treatment was granted must be listed.</t>
  </si>
  <si>
    <r>
      <t>Equity Ratio</t>
    </r>
    <r>
      <rPr>
        <vertAlign val="superscript"/>
        <sz val="12"/>
        <color theme="1"/>
        <rFont val="Times New Roman"/>
        <family val="1"/>
        <scheme val="minor"/>
      </rPr>
      <t>3</t>
    </r>
  </si>
  <si>
    <t>[kk]=[h]x[ii]</t>
  </si>
  <si>
    <t>[ll]=[h]x[jj]</t>
  </si>
  <si>
    <t>[mm]=[kk]-[ll]</t>
  </si>
  <si>
    <t>[nn]=[e]x[f]x[h]x[mm]</t>
  </si>
  <si>
    <t>[pp]=[nn]x[oo]</t>
  </si>
  <si>
    <t>[qq]=[nn]+[pp]</t>
  </si>
  <si>
    <t>Structures and Improvements</t>
  </si>
  <si>
    <t>Land Rights</t>
  </si>
  <si>
    <t>Station Equipment</t>
  </si>
  <si>
    <t>Roads and Trails</t>
  </si>
  <si>
    <t>Land Rights - Isleta</t>
  </si>
  <si>
    <t>Steel Towers and Fixtures</t>
  </si>
  <si>
    <t>Wood and Steel Poles</t>
  </si>
  <si>
    <t>General Plant</t>
  </si>
  <si>
    <t>Structures and Improvements-Systems Operations Building</t>
  </si>
  <si>
    <t>Structures and Improvements-Stanton Tower</t>
  </si>
  <si>
    <t>Structures and Improvements-Eastside Operations Center</t>
  </si>
  <si>
    <t>Structures and Improvements-Other Structures</t>
  </si>
  <si>
    <t>Office Furniture and Equipment</t>
  </si>
  <si>
    <t>Stores Equipment</t>
  </si>
  <si>
    <t>Tools, Shop and Garage Equipment</t>
  </si>
  <si>
    <t>Laboratory Equipment</t>
  </si>
  <si>
    <t>Power Operated Equipment</t>
  </si>
  <si>
    <t>Communication Equipment</t>
  </si>
  <si>
    <t>Miscellaneous Equipment</t>
  </si>
  <si>
    <t>Hold Harmless Expense Adjustments</t>
  </si>
  <si>
    <t>Account no. 219 not included in network transmission rates</t>
  </si>
  <si>
    <t>Deferred fuel regulatory assets not included in network transmission rates</t>
  </si>
  <si>
    <t>Tax gross-up for excess deferred income tax regulatory liability excluded from rate base</t>
  </si>
  <si>
    <t>Related to A&amp;G expenses</t>
  </si>
  <si>
    <t>Portion of decommissioning costs related to transmission</t>
  </si>
  <si>
    <t>Related to gains/losses not included in network transmission rates</t>
  </si>
  <si>
    <t>Total Company End-of-Month Balances</t>
  </si>
  <si>
    <t>Network Transmission End-of-Month Balances</t>
  </si>
  <si>
    <t>Accumulated Deferred Income Taxes (ADIT) Balances</t>
  </si>
  <si>
    <t>Total Account No. 190 - Balances Subject to Prorationing</t>
  </si>
  <si>
    <t>Total Account No. 190 - Balances Not Subject to Prorationing</t>
  </si>
  <si>
    <t>Total Account No. 282 - Balances Subject to Prorationing</t>
  </si>
  <si>
    <t>Total Account No. 282 - Balances Not Subject to Prorationing</t>
  </si>
  <si>
    <t>9f</t>
  </si>
  <si>
    <t>9g</t>
  </si>
  <si>
    <t>9h</t>
  </si>
  <si>
    <t>9i</t>
  </si>
  <si>
    <t>9j</t>
  </si>
  <si>
    <t>9k</t>
  </si>
  <si>
    <t>Yes</t>
  </si>
  <si>
    <t>No</t>
  </si>
  <si>
    <t>Description / Month</t>
  </si>
  <si>
    <t>Accumulated Deferred Income Taxes (Account No. 190)</t>
  </si>
  <si>
    <t>Days in Month</t>
  </si>
  <si>
    <t>Days Prorated</t>
  </si>
  <si>
    <t>Days in Trued-Up Period</t>
  </si>
  <si>
    <t>Proration Percentage</t>
  </si>
  <si>
    <t>Manual Input (Enter as "1/1/YYYY")</t>
  </si>
  <si>
    <r>
      <t>Days in Period</t>
    </r>
    <r>
      <rPr>
        <b/>
        <vertAlign val="superscript"/>
        <sz val="12"/>
        <color theme="1"/>
        <rFont val="Times New Roman"/>
        <family val="1"/>
        <scheme val="minor"/>
      </rPr>
      <t>1</t>
    </r>
  </si>
  <si>
    <t>[e]=[c]/[d]</t>
  </si>
  <si>
    <t>Prorated Projected Monthly Activity</t>
  </si>
  <si>
    <r>
      <t>Prorated Projected Monthly Activity</t>
    </r>
    <r>
      <rPr>
        <vertAlign val="superscript"/>
        <sz val="12"/>
        <color theme="1"/>
        <rFont val="Times New Roman"/>
        <family val="1"/>
        <scheme val="minor"/>
      </rPr>
      <t>2</t>
    </r>
  </si>
  <si>
    <r>
      <t>Actual Monthly Activity</t>
    </r>
    <r>
      <rPr>
        <vertAlign val="superscript"/>
        <sz val="12"/>
        <color theme="1"/>
        <rFont val="Times New Roman"/>
        <family val="1"/>
        <scheme val="minor"/>
      </rPr>
      <t>3</t>
    </r>
  </si>
  <si>
    <t>Accumulated Deferred Income Taxes - Other Property (Account No. 282)</t>
  </si>
  <si>
    <t>Accumulated Deferred Income Taxes - Other Property (Account No. 283)</t>
  </si>
  <si>
    <t>Total Account No. 283 - Balances Not Subject to Prorationing</t>
  </si>
  <si>
    <t>Worksheet A22</t>
  </si>
  <si>
    <t>Excess and Deficient Deferred Income Taxes</t>
  </si>
  <si>
    <t>Annual Amortization</t>
  </si>
  <si>
    <t>[dd] = [cc] - [q]</t>
  </si>
  <si>
    <t>Total Excess and Deficient Deferred Income Taxes Subject to Prorationing</t>
  </si>
  <si>
    <t>Total Excess and Deficient Deferred Income Taxes Not Subject to Prorationing</t>
  </si>
  <si>
    <t>13-Month Average Balance</t>
  </si>
  <si>
    <t>GROSS PLANT IN SERVICE BALANCES</t>
  </si>
  <si>
    <t>Reason for Exclusion from Network Transmission</t>
  </si>
  <si>
    <r>
      <t>Description of Facilities</t>
    </r>
    <r>
      <rPr>
        <vertAlign val="superscript"/>
        <sz val="12"/>
        <color theme="1"/>
        <rFont val="Times New Roman"/>
        <family val="1"/>
        <scheme val="minor"/>
      </rPr>
      <t>1</t>
    </r>
  </si>
  <si>
    <t>1 f</t>
  </si>
  <si>
    <t>Rio Grande to Border Steel</t>
  </si>
  <si>
    <t>Jornada to Hatch</t>
  </si>
  <si>
    <t>Emerald to Largo to Mar</t>
  </si>
  <si>
    <t>Anthony to Border Steel</t>
  </si>
  <si>
    <t>True-Up Adjustment</t>
  </si>
  <si>
    <t>Base for Monthly Interest</t>
  </si>
  <si>
    <t>Calculated Interest</t>
  </si>
  <si>
    <t>Cumulative Refunds and Interest (End of Month)</t>
  </si>
  <si>
    <t>True-Up Year</t>
  </si>
  <si>
    <t>Year</t>
  </si>
  <si>
    <t>Intermediate Year</t>
  </si>
  <si>
    <t>Rate Year</t>
  </si>
  <si>
    <t>True-Up Adjustment with Interest</t>
  </si>
  <si>
    <t>NETWORK TRANSMISSION (ATTACHMENT H)</t>
  </si>
  <si>
    <t>Refunds/surcharges calculated as follows:</t>
  </si>
  <si>
    <t>Cumulative Refunds / (Surcharges) (Beginning of Month)</t>
  </si>
  <si>
    <r>
      <t>Refunds / (Surcharges)</t>
    </r>
    <r>
      <rPr>
        <vertAlign val="superscript"/>
        <sz val="12"/>
        <color theme="1"/>
        <rFont val="Times New Roman"/>
        <family val="1"/>
        <scheme val="minor"/>
      </rPr>
      <t>1</t>
    </r>
  </si>
  <si>
    <r>
      <t>Base for Quarterly Compound Interest</t>
    </r>
    <r>
      <rPr>
        <vertAlign val="superscript"/>
        <sz val="12"/>
        <color theme="1"/>
        <rFont val="Times New Roman"/>
        <family val="1"/>
        <scheme val="minor"/>
      </rPr>
      <t>2</t>
    </r>
  </si>
  <si>
    <r>
      <t>Monthly FERC Interest Rate</t>
    </r>
    <r>
      <rPr>
        <vertAlign val="superscript"/>
        <sz val="12"/>
        <color theme="1"/>
        <rFont val="Times New Roman"/>
        <family val="1"/>
        <scheme val="minor"/>
      </rPr>
      <t>3</t>
    </r>
  </si>
  <si>
    <t>[h] = [f] x [g]</t>
  </si>
  <si>
    <r>
      <t>Amortization of Refunds / (Surcharges)</t>
    </r>
    <r>
      <rPr>
        <vertAlign val="superscript"/>
        <sz val="12"/>
        <color theme="1"/>
        <rFont val="Times New Roman"/>
        <family val="1"/>
        <scheme val="minor"/>
      </rPr>
      <t>4</t>
    </r>
  </si>
  <si>
    <t>[j]=Cumulative( [c],[h],[i] )</t>
  </si>
  <si>
    <t>[d]=Cumulative( [c])</t>
  </si>
  <si>
    <r>
      <t>Less: True-Up Adjustment</t>
    </r>
    <r>
      <rPr>
        <vertAlign val="superscript"/>
        <sz val="12"/>
        <color theme="1"/>
        <rFont val="Times New Roman"/>
        <family val="1"/>
        <scheme val="minor"/>
      </rPr>
      <t>1</t>
    </r>
  </si>
  <si>
    <t>LOAD DISPATCH (SCHEDULE 1)</t>
  </si>
  <si>
    <r>
      <rPr>
        <sz val="11"/>
        <color theme="1"/>
        <rFont val="Times New Roman"/>
        <family val="1"/>
        <scheme val="minor"/>
      </rPr>
      <t>Network</t>
    </r>
    <r>
      <rPr>
        <u/>
        <sz val="11"/>
        <color theme="1"/>
        <rFont val="Times New Roman"/>
        <family val="2"/>
        <scheme val="minor"/>
      </rPr>
      <t xml:space="preserve"> Transmission</t>
    </r>
  </si>
  <si>
    <t>Load Dispatch</t>
  </si>
  <si>
    <t>Equals the quarterly compound interest base at the end of the prior quarter plus interest calculated for the prior quarter.</t>
  </si>
  <si>
    <t>Determined using the "PMT" function employing the monthly interest rate for the rate year and the end-of-month cumulative refunds and interest amount as of December of the intermediate year.</t>
  </si>
  <si>
    <t>N/A</t>
  </si>
  <si>
    <t>FERC Account</t>
  </si>
  <si>
    <t>Amount</t>
  </si>
  <si>
    <t>DIRECT EXPENSE AMOUNTS</t>
  </si>
  <si>
    <t xml:space="preserve">Load Ancillary Expenses </t>
  </si>
  <si>
    <t>Less: Scheduling, System Control and Dispatch Services</t>
  </si>
  <si>
    <t>Total Load Dispatch Expenses</t>
  </si>
  <si>
    <t>Schedule 1 Point-to-Point Revenues</t>
  </si>
  <si>
    <t>Company Records/Input</t>
  </si>
  <si>
    <t>Schedule 1 Annual Revenue Requirement</t>
  </si>
  <si>
    <t>Divisor (kW)</t>
  </si>
  <si>
    <t>Less: Reliability, Planning and Standards Development</t>
  </si>
  <si>
    <t>Less: Transmission Service Studies</t>
  </si>
  <si>
    <t>Less: Generation Interconnection Studies</t>
  </si>
  <si>
    <t>Less: Reliability, Planning and Standards Development Services</t>
  </si>
  <si>
    <r>
      <t>Gross Plant in Service</t>
    </r>
    <r>
      <rPr>
        <vertAlign val="superscript"/>
        <sz val="12"/>
        <color theme="1"/>
        <rFont val="Times New Roman"/>
        <family val="1"/>
        <scheme val="minor"/>
      </rPr>
      <t>1</t>
    </r>
  </si>
  <si>
    <t>Total Gross Plant in Service</t>
  </si>
  <si>
    <r>
      <t>Accumulated Depreciation</t>
    </r>
    <r>
      <rPr>
        <vertAlign val="superscript"/>
        <sz val="12"/>
        <color theme="1"/>
        <rFont val="Times New Roman"/>
        <family val="1"/>
        <scheme val="minor"/>
      </rPr>
      <t>1</t>
    </r>
  </si>
  <si>
    <r>
      <t>Depreciation and Amortization</t>
    </r>
    <r>
      <rPr>
        <vertAlign val="superscript"/>
        <sz val="12"/>
        <color theme="1"/>
        <rFont val="Times New Roman"/>
        <family val="1"/>
        <scheme val="minor"/>
      </rPr>
      <t>1</t>
    </r>
  </si>
  <si>
    <t>Total Depreciation and Amortization</t>
  </si>
  <si>
    <t>Total Accumulated Depreciation</t>
  </si>
  <si>
    <t xml:space="preserve">Form No. 1.  Only non-income related taxes charged in the current year should be included. </t>
  </si>
  <si>
    <t xml:space="preserve">As required by the general instruction for Account No. 105 (Electric plant held for future use). See 18 C.F.R. Part 101. </t>
  </si>
  <si>
    <r>
      <t>Cash Working Capital</t>
    </r>
    <r>
      <rPr>
        <vertAlign val="superscript"/>
        <sz val="12"/>
        <color theme="1"/>
        <rFont val="Times New Roman"/>
        <family val="1"/>
        <scheme val="minor"/>
      </rPr>
      <t>2</t>
    </r>
  </si>
  <si>
    <r>
      <t>Fixed Amount</t>
    </r>
    <r>
      <rPr>
        <vertAlign val="superscript"/>
        <sz val="12"/>
        <color theme="1"/>
        <rFont val="Times New Roman"/>
        <family val="1"/>
        <scheme val="minor"/>
      </rPr>
      <t>3</t>
    </r>
  </si>
  <si>
    <t>Cash working capital calculated using the 1/8th O&amp;M methodology.</t>
  </si>
  <si>
    <t>Amortization of Excess/Deficient Deferred Income Taxes</t>
  </si>
  <si>
    <t>12-month CP average includes all load with the exception of Short-Term Firm Point-to-Point load.</t>
  </si>
  <si>
    <t>Attachment H (Projected)</t>
  </si>
  <si>
    <t>Formula Rate Template (Projected)</t>
  </si>
  <si>
    <r>
      <t>Network Allocator</t>
    </r>
    <r>
      <rPr>
        <vertAlign val="superscript"/>
        <sz val="10"/>
        <color theme="1"/>
        <rFont val="Times New Roman"/>
        <family val="1"/>
        <scheme val="minor"/>
      </rPr>
      <t>4</t>
    </r>
  </si>
  <si>
    <t>Worksheet P2</t>
  </si>
  <si>
    <t>Worksheet P1</t>
  </si>
  <si>
    <t>Historic Network Transmission System Peak Load</t>
  </si>
  <si>
    <r>
      <t>Percentage of Maximum Network Transmission Load</t>
    </r>
    <r>
      <rPr>
        <vertAlign val="superscript"/>
        <sz val="12"/>
        <color theme="1"/>
        <rFont val="Times New Roman"/>
        <family val="1"/>
        <scheme val="minor"/>
      </rPr>
      <t>1</t>
    </r>
  </si>
  <si>
    <r>
      <t>Projected Network Transmission Load</t>
    </r>
    <r>
      <rPr>
        <vertAlign val="superscript"/>
        <sz val="12"/>
        <color theme="1"/>
        <rFont val="Times New Roman"/>
        <family val="1"/>
        <scheme val="minor"/>
      </rPr>
      <t>2</t>
    </r>
  </si>
  <si>
    <t>Intermediate Year:</t>
  </si>
  <si>
    <t>Peak Network Load (MW):</t>
  </si>
  <si>
    <r>
      <t>Difference Between Actual and Projected Activity</t>
    </r>
    <r>
      <rPr>
        <vertAlign val="superscript"/>
        <sz val="12"/>
        <color theme="1"/>
        <rFont val="Times New Roman"/>
        <family val="1"/>
        <scheme val="minor"/>
      </rPr>
      <t>4</t>
    </r>
  </si>
  <si>
    <r>
      <t>Monthly Actual Activity Above Projection
(No Prorationing)</t>
    </r>
    <r>
      <rPr>
        <vertAlign val="superscript"/>
        <sz val="12"/>
        <color theme="1"/>
        <rFont val="Times New Roman"/>
        <family val="1"/>
        <scheme val="minor"/>
      </rPr>
      <t>5</t>
    </r>
  </si>
  <si>
    <r>
      <t>Monthly Actual Activity Below Projection (Prorate)</t>
    </r>
    <r>
      <rPr>
        <vertAlign val="superscript"/>
        <sz val="12"/>
        <color theme="1"/>
        <rFont val="Times New Roman"/>
        <family val="1"/>
        <scheme val="minor"/>
      </rPr>
      <t>6</t>
    </r>
  </si>
  <si>
    <r>
      <t>Partially-Prorated Actual ADIT Balances</t>
    </r>
    <r>
      <rPr>
        <vertAlign val="superscript"/>
        <sz val="12"/>
        <color theme="1"/>
        <rFont val="Times New Roman"/>
        <family val="1"/>
        <scheme val="minor"/>
      </rPr>
      <t>8</t>
    </r>
  </si>
  <si>
    <r>
      <t>Monthly Actual Activity that Decreases Absolute Balance (No Prorationing)</t>
    </r>
    <r>
      <rPr>
        <vertAlign val="superscript"/>
        <sz val="12"/>
        <color theme="1"/>
        <rFont val="Times New Roman"/>
        <family val="1"/>
        <scheme val="minor"/>
      </rPr>
      <t>7</t>
    </r>
  </si>
  <si>
    <t>Protected or Unprotected?</t>
  </si>
  <si>
    <t>Unprotected</t>
  </si>
  <si>
    <t>Protected</t>
  </si>
  <si>
    <t>Excess Deferred Income Taxes Subject to Prorationing</t>
  </si>
  <si>
    <t>Excess Deferred Income Taxes Not Subject to Prorationing</t>
  </si>
  <si>
    <t>Deficient Deferred Income Taxes Subject to Prorationing</t>
  </si>
  <si>
    <t>Deficient Deferred Income Taxes Not Subject to Prorationing</t>
  </si>
  <si>
    <t>Calculation of Actual Monthly Balances</t>
  </si>
  <si>
    <t>Excess Deferred Income Taxes (Account No. 254)</t>
  </si>
  <si>
    <t>Deficient Deferred Income Taxes (Account No. 182.3)</t>
  </si>
  <si>
    <r>
      <t>Prorated?</t>
    </r>
    <r>
      <rPr>
        <vertAlign val="superscript"/>
        <sz val="12"/>
        <color theme="1"/>
        <rFont val="Times New Roman"/>
        <family val="1"/>
        <scheme val="minor"/>
      </rPr>
      <t>5</t>
    </r>
  </si>
  <si>
    <r>
      <t>Prorated?</t>
    </r>
    <r>
      <rPr>
        <vertAlign val="superscript"/>
        <sz val="12"/>
        <color theme="1"/>
        <rFont val="Times New Roman"/>
        <family val="1"/>
        <scheme val="minor"/>
      </rPr>
      <t>2</t>
    </r>
  </si>
  <si>
    <t>Related to plant</t>
  </si>
  <si>
    <t>Not related to jurisdictional cost-of-service</t>
  </si>
  <si>
    <t>Differences in capitalized interest calculation for book-tax purposes (plant-related)</t>
  </si>
  <si>
    <t>Amortization of debt costs included in network transmission rates</t>
  </si>
  <si>
    <t>Excess deferred income taxes associated with items not included in network transmission rates</t>
  </si>
  <si>
    <t>Related to retirement plans and other employee benefits</t>
  </si>
  <si>
    <t>Reverse South Georgia - 15 Years</t>
  </si>
  <si>
    <t>Reverse South Georgia - 4 Years</t>
  </si>
  <si>
    <t>Excess and deficient deferred income tax balances exclude income tax gross-ups recorded to accounts 182.3 and 254.</t>
  </si>
  <si>
    <t>Worksheet P3</t>
  </si>
  <si>
    <t>Worksheet P5</t>
  </si>
  <si>
    <r>
      <t>Accumulated Deferred Income Taxes (Account No. 190)</t>
    </r>
    <r>
      <rPr>
        <b/>
        <vertAlign val="superscript"/>
        <sz val="12"/>
        <color theme="1"/>
        <rFont val="Times New Roman"/>
        <family val="1"/>
        <scheme val="minor"/>
      </rPr>
      <t>1, 2</t>
    </r>
  </si>
  <si>
    <r>
      <t>Accumulated Deferred Income Taxes - Other Property (Account No. 282)</t>
    </r>
    <r>
      <rPr>
        <b/>
        <vertAlign val="superscript"/>
        <sz val="12"/>
        <color theme="1"/>
        <rFont val="Times New Roman"/>
        <family val="1"/>
        <scheme val="minor"/>
      </rPr>
      <t xml:space="preserve">1, 3 </t>
    </r>
  </si>
  <si>
    <r>
      <t>Accumulated Deferred Income Taxes - Other (Account No. 283)</t>
    </r>
    <r>
      <rPr>
        <b/>
        <vertAlign val="superscript"/>
        <sz val="12"/>
        <color theme="1"/>
        <rFont val="Times New Roman"/>
        <family val="1"/>
        <scheme val="minor"/>
      </rPr>
      <t>1, 4</t>
    </r>
  </si>
  <si>
    <t>Worksheet P6</t>
  </si>
  <si>
    <t>Reverse South Georgia - 77 Years</t>
  </si>
  <si>
    <t>Reverse South Georgia - 20.8 Years</t>
  </si>
  <si>
    <t>Deferred Income Tax (DIT) Averages</t>
  </si>
  <si>
    <t>Worksheet P4</t>
  </si>
  <si>
    <t>Year of FERC Form No. 1 Inputs (Historic True-Up Year)</t>
  </si>
  <si>
    <t>Year of Rate Projections (Rate Year)</t>
  </si>
  <si>
    <r>
      <t>Projected Monthly Activity</t>
    </r>
    <r>
      <rPr>
        <vertAlign val="superscript"/>
        <sz val="12"/>
        <color theme="1"/>
        <rFont val="Times New Roman"/>
        <family val="1"/>
        <scheme val="minor"/>
      </rPr>
      <t>2</t>
    </r>
  </si>
  <si>
    <t>[g] = [e] x [f]</t>
  </si>
  <si>
    <t>Prorated Projected Balances</t>
  </si>
  <si>
    <t>[h] = Cumulative([g])</t>
  </si>
  <si>
    <t>Worksheet P7</t>
  </si>
  <si>
    <t>Worksheet P13</t>
  </si>
  <si>
    <t>Worksheet P11</t>
  </si>
  <si>
    <t>Worksheet P8</t>
  </si>
  <si>
    <t>Worksheet P12</t>
  </si>
  <si>
    <t>Projected Transmission Plant Activity</t>
  </si>
  <si>
    <t>Projected Transmission Plant Additions</t>
  </si>
  <si>
    <r>
      <t xml:space="preserve">% of Additions </t>
    </r>
    <r>
      <rPr>
        <i/>
        <sz val="12"/>
        <color theme="1"/>
        <rFont val="Times New Roman"/>
        <family val="1"/>
        <scheme val="minor"/>
      </rPr>
      <t>Network</t>
    </r>
    <r>
      <rPr>
        <sz val="12"/>
        <color theme="1"/>
        <rFont val="Times New Roman"/>
        <family val="2"/>
        <scheme val="minor"/>
      </rPr>
      <t xml:space="preserve"> Transmission</t>
    </r>
  </si>
  <si>
    <t>Projected Transmission Net Plant Balances</t>
  </si>
  <si>
    <r>
      <t>Projected Transmission Gross Plant Balances</t>
    </r>
    <r>
      <rPr>
        <vertAlign val="superscript"/>
        <sz val="12"/>
        <color theme="1"/>
        <rFont val="Times New Roman"/>
        <family val="1"/>
        <scheme val="minor"/>
      </rPr>
      <t>2</t>
    </r>
  </si>
  <si>
    <t>A</t>
  </si>
  <si>
    <r>
      <t xml:space="preserve">Projected </t>
    </r>
    <r>
      <rPr>
        <i/>
        <sz val="12"/>
        <color theme="1"/>
        <rFont val="Times New Roman"/>
        <family val="1"/>
        <scheme val="minor"/>
      </rPr>
      <t>Network</t>
    </r>
    <r>
      <rPr>
        <sz val="12"/>
        <color theme="1"/>
        <rFont val="Times New Roman"/>
        <family val="2"/>
        <scheme val="minor"/>
      </rPr>
      <t xml:space="preserve"> Transmission Gross Plant Balances</t>
    </r>
    <r>
      <rPr>
        <vertAlign val="superscript"/>
        <sz val="12"/>
        <color theme="1"/>
        <rFont val="Times New Roman"/>
        <family val="1"/>
        <scheme val="minor"/>
      </rPr>
      <t>2</t>
    </r>
  </si>
  <si>
    <r>
      <t>Depreciation Rate</t>
    </r>
    <r>
      <rPr>
        <vertAlign val="superscript"/>
        <sz val="12"/>
        <color theme="1"/>
        <rFont val="Times New Roman"/>
        <family val="1"/>
        <scheme val="minor"/>
      </rPr>
      <t>3</t>
    </r>
  </si>
  <si>
    <r>
      <t>Monthly Transmission Depreciation Expense</t>
    </r>
    <r>
      <rPr>
        <vertAlign val="superscript"/>
        <sz val="12"/>
        <color theme="1"/>
        <rFont val="Times New Roman"/>
        <family val="1"/>
        <scheme val="minor"/>
      </rPr>
      <t>3</t>
    </r>
  </si>
  <si>
    <r>
      <t>Projected Transmission Accumulated Depreciation Balances</t>
    </r>
    <r>
      <rPr>
        <vertAlign val="superscript"/>
        <sz val="12"/>
        <color theme="1"/>
        <rFont val="Times New Roman"/>
        <family val="1"/>
        <scheme val="minor"/>
      </rPr>
      <t>4</t>
    </r>
  </si>
  <si>
    <r>
      <t>Depreciation Rate Selection</t>
    </r>
    <r>
      <rPr>
        <vertAlign val="superscript"/>
        <sz val="12"/>
        <color theme="1"/>
        <rFont val="Times New Roman"/>
        <family val="1"/>
        <scheme val="minor"/>
      </rPr>
      <t>3</t>
    </r>
  </si>
  <si>
    <t>Selection</t>
  </si>
  <si>
    <t>Rate</t>
  </si>
  <si>
    <t>N</t>
  </si>
  <si>
    <t>Annual Composite Depreciation Rate in New Filed Study / 12.0</t>
  </si>
  <si>
    <t>[k]=[e]-[j]</t>
  </si>
  <si>
    <t>Projected Expenses</t>
  </si>
  <si>
    <t>Worksheet P10</t>
  </si>
  <si>
    <t>Actual Costs</t>
  </si>
  <si>
    <t>Projected Costs</t>
  </si>
  <si>
    <t>Worksheet P9</t>
  </si>
  <si>
    <t>Account Nos. 561.1-561.8 (Load Dispatch)</t>
  </si>
  <si>
    <t>Account No. 565 (Transmission of Electricity by Others)</t>
  </si>
  <si>
    <t>Non-Recoverable A&amp;G</t>
  </si>
  <si>
    <t>Property Insurance</t>
  </si>
  <si>
    <t>Amortization of Transmission Rate Case Expense</t>
  </si>
  <si>
    <t>Actual OPEB Expense</t>
  </si>
  <si>
    <t>Other Taxes (Non-Income)</t>
  </si>
  <si>
    <t>O&amp;M</t>
  </si>
  <si>
    <t>A&amp;G</t>
  </si>
  <si>
    <t>Load Dispatch Expenses</t>
  </si>
  <si>
    <r>
      <t>Charge Factor</t>
    </r>
    <r>
      <rPr>
        <vertAlign val="superscript"/>
        <sz val="12"/>
        <color theme="1"/>
        <rFont val="Times New Roman"/>
        <family val="1"/>
        <scheme val="minor"/>
      </rPr>
      <t>1</t>
    </r>
  </si>
  <si>
    <t>% Change in Net Plant from Actual to Projected</t>
  </si>
  <si>
    <t>Maximum Percentage Change</t>
  </si>
  <si>
    <t>Minimum Percentage Change</t>
  </si>
  <si>
    <t>Use Calculated Charge Factors?</t>
  </si>
  <si>
    <t>"Yes" if % change is between 0% and 2.5%, otherwise "No"</t>
  </si>
  <si>
    <t>Use Maximum or Minimum Percentage Change?</t>
  </si>
  <si>
    <t>"Max" if % change is &gt; 2.5%, "Min" if % change is &lt; 0%</t>
  </si>
  <si>
    <t>Projected FERC. Rate Case Expenses Amortized Over 3 Years</t>
  </si>
  <si>
    <t>FERC Form No. 1, Page 200, Col. (b), Ln. 3 less Ln. 14</t>
  </si>
  <si>
    <t>Transmission-Related Regulatory Commission Expense</t>
  </si>
  <si>
    <t>Formula Rate Template</t>
  </si>
  <si>
    <t>Table of Contents</t>
  </si>
  <si>
    <t>Worksheet</t>
  </si>
  <si>
    <t>Actual / Projected</t>
  </si>
  <si>
    <t>Worksheet P14</t>
  </si>
  <si>
    <t>Attachment H</t>
  </si>
  <si>
    <t>Formula Rate Template Attachment H</t>
  </si>
  <si>
    <t>Actual</t>
  </si>
  <si>
    <t>Projected</t>
  </si>
  <si>
    <t>Corporate Income Tax Rates</t>
  </si>
  <si>
    <t>AP763 - OPEB</t>
  </si>
  <si>
    <t>AP772 - OPEB - UNION</t>
  </si>
  <si>
    <t>AP773 - OPEB - LIFE INSURANCE</t>
  </si>
  <si>
    <t>AP774 - OPEB - 401(H)</t>
  </si>
  <si>
    <t>AP761 - PENSIONS</t>
  </si>
  <si>
    <t>AP764 - SERP</t>
  </si>
  <si>
    <t>AP765 - EXCESS BENEFIT PLAN</t>
  </si>
  <si>
    <t>AP710 - A/P ACCRUALS</t>
  </si>
  <si>
    <t>AP762 - 401K</t>
  </si>
  <si>
    <t>AP766 - MEDICAL INSURANCE</t>
  </si>
  <si>
    <t>AP767 - LIFE INSURANCE</t>
  </si>
  <si>
    <t>AP768 - DENTAL INSURANCE</t>
  </si>
  <si>
    <t>AP769 - LT &amp; ST DISABILITY INSURANCE</t>
  </si>
  <si>
    <t>AP753 - PAYRL CORP BONUS BLANKET</t>
  </si>
  <si>
    <t>AP751 - PAYRL DEDUCT CLEAR</t>
  </si>
  <si>
    <t>AP780 - OTHER EMPLY BENEFITS</t>
  </si>
  <si>
    <t>AP790 - WORKERS COMP</t>
  </si>
  <si>
    <t>Labor-related</t>
  </si>
  <si>
    <t xml:space="preserve">The monthly interest rates to be applied to the over recovery or under recovery amounts during the true-up year and the first (6) months of the intermediate year will be determined using the monthly FERC interest rates (as determined pursuant to 18 C.F.R. Section 35.19a) posted at https://www.ferc.gov/interest-calculation-rates-and-methodology. The monthly interest rates to be applied to the over recovery or under recovery amounts during the rate year and the last (6) months of the intermediate year will be determined using the simple average of the monthly interest rates for the first (6) months of the intermediate year and the last (6) months of the true-up year.  </t>
  </si>
  <si>
    <t>Deficient Deferred SIT Normalizaiton</t>
  </si>
  <si>
    <t>Deficient Deferred SIT Normalization</t>
  </si>
  <si>
    <t>[n1]</t>
  </si>
  <si>
    <t>Transmission Total</t>
  </si>
  <si>
    <t xml:space="preserve">Overhead Conductors &amp; Devices </t>
  </si>
  <si>
    <t>This allocator is fixed and cannot be modified absent a ruling from the Commission.</t>
  </si>
  <si>
    <t>Projected Transmission Depreciation Composite Rate</t>
  </si>
  <si>
    <t>Cost of capital for common stock (ROE) of 10.25% approved in Docket No. ER22-282-000. This ROE is fixed and cannot be changed absent Commission approval. Cost of long-term debt derived by dividing the following annual interest expense by the average long-term debt balance shown on line 15, column [g].</t>
  </si>
  <si>
    <t>Land and land rights</t>
  </si>
  <si>
    <t>Land Rights (Isleta)</t>
  </si>
  <si>
    <t>Structures and improvements</t>
  </si>
  <si>
    <t>Station equipment</t>
  </si>
  <si>
    <t>Towers and fixtures</t>
  </si>
  <si>
    <t>Poles and fixtures</t>
  </si>
  <si>
    <t>Overhead conductors, devices</t>
  </si>
  <si>
    <t>Roads and trails</t>
  </si>
  <si>
    <t>[e] = [c] x [d]</t>
  </si>
  <si>
    <t>Composite Depreciation Rate Calculation</t>
  </si>
  <si>
    <t>Plant in Service, Accumulated Depreciation, and Depreciation Expense amounts exclude Asset Retirement Obligation amounts unless authorized by FERC.</t>
  </si>
  <si>
    <t>Amortization of Other Utility Plant</t>
  </si>
  <si>
    <t>Industry Association Dues (930.2)</t>
  </si>
  <si>
    <r>
      <t>12-Month Coincident Peak Average</t>
    </r>
    <r>
      <rPr>
        <vertAlign val="superscript"/>
        <sz val="12"/>
        <color theme="1"/>
        <rFont val="Times New Roman"/>
        <family val="1"/>
        <scheme val="minor"/>
      </rPr>
      <t>1</t>
    </r>
  </si>
  <si>
    <t>Throughout this Formula Rate Template yellow-shaded cells are sourced from Company manual inputs.</t>
  </si>
  <si>
    <r>
      <t>[b]</t>
    </r>
    <r>
      <rPr>
        <vertAlign val="superscript"/>
        <sz val="12"/>
        <color theme="1"/>
        <rFont val="Times New Roman"/>
        <family val="1"/>
        <scheme val="minor"/>
      </rPr>
      <t>5</t>
    </r>
  </si>
  <si>
    <t>Accumulated depreciation balances for the intangible plant function reflect the Company's balances for Account No. 111 (Accumulated provision for amortization of electric utility plant).</t>
  </si>
  <si>
    <t xml:space="preserve">Unfunded reserves are listed by subaccount, specifically including (but not limited to) all subaccounts for FERC Account Nos. 228.1 through 228.4, as well as accounts 242 and 253.  "Unfunded reserve" is defined as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account.  Reserves can be created by capital contributions from customers, by debiting the reserve and crediting a liability, or a combination of customer capital contribution and offsetting liability.  Only the portion of a reserve that was created by customer contributions should be a reduction to rate base.  Amounts related to SFAS 109 and 158 shall not be included as unfunded reserves.  </t>
  </si>
  <si>
    <t>Includes line safety-related advertising expenses booked to Account No. 930.1.</t>
  </si>
  <si>
    <r>
      <t>Less: Safety-Related Advertising</t>
    </r>
    <r>
      <rPr>
        <vertAlign val="superscript"/>
        <sz val="12"/>
        <color theme="1"/>
        <rFont val="Times New Roman"/>
        <family val="1"/>
        <scheme val="minor"/>
      </rPr>
      <t>1</t>
    </r>
  </si>
  <si>
    <r>
      <t>OPEB Net Periodic Benefit Cost</t>
    </r>
    <r>
      <rPr>
        <vertAlign val="superscript"/>
        <sz val="12"/>
        <color theme="1"/>
        <rFont val="Times New Roman"/>
        <family val="1"/>
        <scheme val="minor"/>
      </rPr>
      <t>2</t>
    </r>
  </si>
  <si>
    <r>
      <t>Transmission-Related Regulatory Commission Expenses</t>
    </r>
    <r>
      <rPr>
        <vertAlign val="superscript"/>
        <sz val="12"/>
        <color theme="1"/>
        <rFont val="Times New Roman"/>
        <family val="1"/>
        <scheme val="minor"/>
      </rPr>
      <t>3</t>
    </r>
  </si>
  <si>
    <t>Statements contained in the Company's FERC Form No. 1 (Pages 122-123).</t>
  </si>
  <si>
    <t xml:space="preserve">Amounts shown must tie to the amounts shown on 263, column (i) of th Company's FERC </t>
  </si>
  <si>
    <r>
      <t xml:space="preserve">Permanent differences are those that arise due to divergences between tax accounting and financial reporting, such as the non-deductibility of book depreciation expense related to equity AFUDC.  As opposed to temporary differences, such as those related to the straight-line-versus-accelerated depreciation for book and tax purposes, respectively, permanent differences will not reverse over time.  The Commission has held that certain permanent differences should be treated as temporary timing differences.  </t>
    </r>
    <r>
      <rPr>
        <i/>
        <sz val="12"/>
        <color theme="1"/>
        <rFont val="Times New Roman"/>
        <family val="1"/>
        <scheme val="minor"/>
      </rPr>
      <t>See Accounting for Income Taxes</t>
    </r>
    <r>
      <rPr>
        <sz val="12"/>
        <color theme="1"/>
        <rFont val="Times New Roman"/>
        <family val="2"/>
        <scheme val="minor"/>
      </rPr>
      <t>, Docket No. AI93-5-000. Included permanent differences are limited to activities included in utility operating income.</t>
    </r>
  </si>
  <si>
    <t xml:space="preserve">The Company has elected and applied the second option for accounting for investment tax credits (“ITC”) under Internal Revenue Code 46(f) and the regulations thereunder to apply a cost of service adjustment to reduce tax expense no more rapidly than ratably. Under option 2, there is no rate base reduction for the unamortized balance of the ITC.  </t>
  </si>
  <si>
    <t xml:space="preserve">Rate per Depreciation Rate Study </t>
  </si>
  <si>
    <r>
      <t>Network Allocator</t>
    </r>
    <r>
      <rPr>
        <u/>
        <vertAlign val="superscript"/>
        <sz val="10"/>
        <color theme="1"/>
        <rFont val="Times New Roman"/>
        <family val="1"/>
        <scheme val="minor"/>
      </rPr>
      <t>4</t>
    </r>
  </si>
  <si>
    <r>
      <t>Total Company End-of-Month Balances</t>
    </r>
    <r>
      <rPr>
        <vertAlign val="superscript"/>
        <sz val="12"/>
        <color theme="1"/>
        <rFont val="Times New Roman"/>
        <family val="1"/>
        <scheme val="minor"/>
      </rPr>
      <t>1 4</t>
    </r>
  </si>
  <si>
    <t xml:space="preserve">Page 200, Line 21, Column (c) (for respective yr) </t>
  </si>
  <si>
    <t xml:space="preserve">FF1, Page 351, Ln. 2, Col. (h) </t>
  </si>
  <si>
    <t xml:space="preserve">FF1, Page 351, Ln. 3, Col. (h) </t>
  </si>
  <si>
    <t xml:space="preserve">FF1, Page 351, Ln. 4, Col. (h) </t>
  </si>
  <si>
    <t xml:space="preserve">Reflects the Company's actual OPEB net periodic benefit cost for the relevant year. This amount should approximate the OPEB net periodic benefit cost shown in the Notes to the Financial </t>
  </si>
  <si>
    <t>Excluded Transmission Plant</t>
  </si>
  <si>
    <t>Corporate Income Tax Rate</t>
  </si>
  <si>
    <t>State Apportionment Factor for Taxable Income/Losses</t>
  </si>
  <si>
    <r>
      <t>Effective Rates</t>
    </r>
    <r>
      <rPr>
        <vertAlign val="superscript"/>
        <sz val="12"/>
        <color theme="1"/>
        <rFont val="Times New Roman"/>
        <family val="1"/>
        <scheme val="minor"/>
      </rPr>
      <t>1</t>
    </r>
  </si>
  <si>
    <t>Excess Deferred FIT - 2017 TCJA - Protected (Plant)</t>
  </si>
  <si>
    <t>Deficient Deferred FIT - 2017 TCJA-Unprotected (Labor)</t>
  </si>
  <si>
    <t>Deficient Deferred FIT - 2017 TCJA-Unprotected (Not allocated)</t>
  </si>
  <si>
    <t>Key Man Life Insurance</t>
  </si>
  <si>
    <t>Lobbying</t>
  </si>
  <si>
    <t>Non-Deductible Merger Transaction Costs</t>
  </si>
  <si>
    <t>Key Man premiums/proceeds not included in the cost of service</t>
  </si>
  <si>
    <t>Lobbying expenses not included in the cost of service</t>
  </si>
  <si>
    <t>Merger transaction costs not included in the cost of service</t>
  </si>
  <si>
    <r>
      <t>Regulatory Commission Expenses (928)</t>
    </r>
    <r>
      <rPr>
        <vertAlign val="superscript"/>
        <sz val="12"/>
        <color theme="1"/>
        <rFont val="Times New Roman"/>
        <family val="1"/>
        <scheme val="minor"/>
      </rPr>
      <t>1</t>
    </r>
  </si>
  <si>
    <r>
      <t>Composite Income Tax Rate Gross-Up Rate</t>
    </r>
    <r>
      <rPr>
        <vertAlign val="superscript"/>
        <sz val="10"/>
        <color theme="1"/>
        <rFont val="Times New Roman"/>
        <family val="1"/>
        <scheme val="minor"/>
      </rPr>
      <t>4</t>
    </r>
  </si>
  <si>
    <t>Fixed 2.5%</t>
  </si>
  <si>
    <t>Fixed 0%</t>
  </si>
  <si>
    <t>Depreciation Expense</t>
  </si>
  <si>
    <t>Worksheet P15</t>
  </si>
  <si>
    <t>Schedule 1</t>
  </si>
  <si>
    <t>Schedule 1 (Actual)</t>
  </si>
  <si>
    <t>Schedule 1 - Load Dispatch Revenue Requirement</t>
  </si>
  <si>
    <t>Schedule 1 (Projected)</t>
  </si>
  <si>
    <t xml:space="preserve">Schedule 1 - Load Dispatch Revenue Requirement </t>
  </si>
  <si>
    <t xml:space="preserve">Schedule 1 Actual Annual Revenue Requirement </t>
  </si>
  <si>
    <t>Worksheet P14, Ln. x</t>
  </si>
  <si>
    <t>Schedule 1 Projected Annual Revenue Requirement</t>
  </si>
  <si>
    <t>Ln. 1 + Ln. 2</t>
  </si>
  <si>
    <t>Steam Production Plant</t>
  </si>
  <si>
    <t>Boiler Plant Equipment</t>
  </si>
  <si>
    <t>Engines and Engine-Driven Generators</t>
  </si>
  <si>
    <t>Turbogenerator Units</t>
  </si>
  <si>
    <t>Accessory Electric Equipment</t>
  </si>
  <si>
    <t>Miscellaneous Power Plant Equipment</t>
  </si>
  <si>
    <t>Gas Turbine Plant</t>
  </si>
  <si>
    <t>Fuel Holders</t>
  </si>
  <si>
    <t>Prime Movers</t>
  </si>
  <si>
    <t>Generators</t>
  </si>
  <si>
    <t>Poles, Towers and Fixtures</t>
  </si>
  <si>
    <t>Overhead Conductors &amp; Devices</t>
  </si>
  <si>
    <t>Underground Conduit</t>
  </si>
  <si>
    <t>Underground Conductors &amp; Devices</t>
  </si>
  <si>
    <t>Line Transformers</t>
  </si>
  <si>
    <t>Services</t>
  </si>
  <si>
    <t>Meters</t>
  </si>
  <si>
    <t>Installations on Customers' Premises</t>
  </si>
  <si>
    <t>Street Lightin and Signal Systems</t>
  </si>
  <si>
    <r>
      <t>Intangible Plant</t>
    </r>
    <r>
      <rPr>
        <b/>
        <vertAlign val="superscript"/>
        <sz val="12"/>
        <color theme="1"/>
        <rFont val="Times New Roman"/>
        <family val="1"/>
        <scheme val="minor"/>
      </rPr>
      <t>1</t>
    </r>
  </si>
  <si>
    <t>Software - 5 Years</t>
  </si>
  <si>
    <t>Software - 7 Years</t>
  </si>
  <si>
    <t>Software - 9 Years</t>
  </si>
  <si>
    <t>Software - 11 Years</t>
  </si>
  <si>
    <t>Software - 13 Years</t>
  </si>
  <si>
    <t>Software - 15 Years</t>
  </si>
  <si>
    <t>Subject to a change in Uniform System of Accounts requirements, once an intangible asset is placed in a particular subaccount (corresponding to the appropriate useful life), it will remain in that subaccount and use the subaccount's amortization rate until it is fully amortized.</t>
  </si>
  <si>
    <t>12 Months Ended December 31, 2022</t>
  </si>
  <si>
    <t>Agreed in Settlement, Docket No. ER22-282</t>
  </si>
  <si>
    <t>Worksheet A3-1</t>
  </si>
  <si>
    <t>Long Term Firm PV-WW</t>
  </si>
  <si>
    <t>Long Term Firm PV-JO-KY</t>
  </si>
  <si>
    <t>Revenue Calculated at Formula Rate</t>
  </si>
  <si>
    <t>Revenue included in FF1 ($)</t>
  </si>
  <si>
    <t>Incremental Revenue Credit ($)</t>
  </si>
  <si>
    <t xml:space="preserve">  Revenue at Annual Formula Rate ($)</t>
  </si>
  <si>
    <t>Total Incremental PV LTF Revenue Credit</t>
  </si>
  <si>
    <t>Path</t>
  </si>
  <si>
    <t>Company Records</t>
  </si>
  <si>
    <t>Line 4 x Line 5</t>
  </si>
  <si>
    <t>Line 2 - Line 6</t>
  </si>
  <si>
    <t>Line 12 x Line 13</t>
  </si>
  <si>
    <t>Line 10 - Line 14</t>
  </si>
  <si>
    <t>Line 7 + Line 15</t>
  </si>
  <si>
    <t>Worksheet A3-1, Ln 17, Col [d]</t>
  </si>
  <si>
    <t>Incremental Palo Verde Revenue Credits</t>
  </si>
  <si>
    <t>Incremental Palo Verde Revenue Credit</t>
  </si>
  <si>
    <r>
      <t xml:space="preserve">Amount </t>
    </r>
    <r>
      <rPr>
        <vertAlign val="superscript"/>
        <sz val="12"/>
        <color theme="1"/>
        <rFont val="Times New Roman"/>
        <family val="1"/>
        <scheme val="minor"/>
      </rPr>
      <t>1, 2</t>
    </r>
  </si>
  <si>
    <t>Materials &amp; Supplies: Transmission</t>
  </si>
  <si>
    <t>Materials &amp; Supplies: Stores Expense</t>
  </si>
  <si>
    <t xml:space="preserve">  Annual Demand  (MW)</t>
  </si>
  <si>
    <t xml:space="preserve">  Applicable Firm Annual Formula Rate ($/MW-year)</t>
  </si>
  <si>
    <t>Adjusted Amount</t>
  </si>
  <si>
    <t>These lines are undergoing configuration changes such that radial characteristics are expected to be eliminated.  The settlement's exclusion from the OATT rate base is temporary.  These lines will be included in the OATT rates upon reconfiguration completion.</t>
  </si>
  <si>
    <t>The depreciation rates listed for Transmission, General, and Intangible Plant were approved in the Docket No. ER22-282-000 Settlement and cannot be changed absent approval from the Commission pursuant to a section 205 or 206 filing.</t>
  </si>
  <si>
    <t xml:space="preserve">   Annual (MW-year)</t>
  </si>
  <si>
    <t>Portion of Industry Association Dues not recoverable</t>
  </si>
  <si>
    <r>
      <t>Apollo to Cox</t>
    </r>
    <r>
      <rPr>
        <vertAlign val="superscript"/>
        <sz val="12"/>
        <color theme="1"/>
        <rFont val="Times New Roman"/>
        <family val="1"/>
        <scheme val="minor"/>
      </rPr>
      <t xml:space="preserve"> 2</t>
    </r>
  </si>
  <si>
    <t xml:space="preserve">   Monthly (MW-month)</t>
  </si>
  <si>
    <t xml:space="preserve">   Weekly (MW-week)</t>
  </si>
  <si>
    <t xml:space="preserve">   Daily On-Peak (MW-day)</t>
  </si>
  <si>
    <t xml:space="preserve">   Daily Off-Peak (MW-day)</t>
  </si>
  <si>
    <t xml:space="preserve">   Daily Off-Peak MkW-day)</t>
  </si>
  <si>
    <t>Structures and Improvements-Other Structures Vanderbilt</t>
  </si>
  <si>
    <t>Structures and Improvements-Other Structures Emergency Management System</t>
  </si>
  <si>
    <t>Structures and Improvements-Other Structures Misc Buildings</t>
  </si>
  <si>
    <t>THIS WORKSHEET APPLIES SOLELY DURING THE DOCKET ER22-282 SETTLEMENT STAY PERIOD.</t>
  </si>
  <si>
    <t>Incremental LTF PTP Palo Verde Revenue Credits</t>
  </si>
  <si>
    <t>[Intentionally Left Blank]</t>
  </si>
  <si>
    <t>Adjustment per the Docket ER22-282 Settlement</t>
  </si>
  <si>
    <t>Oro Grande to White Sands</t>
  </si>
  <si>
    <r>
      <t>Arroyo to Jornada</t>
    </r>
    <r>
      <rPr>
        <vertAlign val="superscript"/>
        <sz val="12"/>
        <color theme="1"/>
        <rFont val="Times New Roman"/>
        <family val="1"/>
        <scheme val="minor"/>
      </rPr>
      <t xml:space="preserve"> 2</t>
    </r>
  </si>
  <si>
    <t xml:space="preserve">The revenues credited shall include only amounts received directly for transmission service provided by EPE under this tariff using EPE's integrated transmission facilities,except that these revenue credits shall not include revenues associated with transmission service for which loads are included in the rate divisor on Worksheet A2, line 16 of this Formula Rate Template. The revenues credited do not include revenues associated with FERC annual charges, gross receipts taxes, ancillary services, and facilities for which costs are not recovered under this Formula Rate Template (e.g., direct assignment facilities and GSUs). As an exception to this principle, during the Docket No. ER22-282 Settlement's stay period associated with LTF PTP service, revenue credits include certain amounts associated with transmission service for which loads are included in the rate divisor on Worksheet A2, line 16.  </t>
  </si>
  <si>
    <r>
      <t>Account No. 456.1 (Other Electric Revenues)</t>
    </r>
    <r>
      <rPr>
        <b/>
        <vertAlign val="superscript"/>
        <sz val="12"/>
        <color theme="1"/>
        <rFont val="Times New Roman"/>
        <family val="1"/>
        <scheme val="minor"/>
      </rPr>
      <t>3, 5</t>
    </r>
  </si>
  <si>
    <t>The incremental revenue credits automatically expire under the Docket ER22-282 Settlement on the dates identified in the Settlement Agreement, without the need for Company action or Commision approval under Sections 205 or 206.</t>
  </si>
  <si>
    <r>
      <t xml:space="preserve">Excluded Transmission </t>
    </r>
    <r>
      <rPr>
        <sz val="12"/>
        <color theme="1"/>
        <rFont val="Times New Roman"/>
        <family val="1"/>
        <scheme val="minor"/>
      </rPr>
      <t>Plant</t>
    </r>
  </si>
  <si>
    <t xml:space="preserve">The accrual of allowance for funds used during construction (AFUDC) ceases when CWIP is recovered in rate base corresponding to the amount of CWIP included in rate base. Accounting procedures must ensure that there is no duplicate recovery of CWIP and corresponding capitalized AFUDC. </t>
  </si>
  <si>
    <t>Blended Rates FF1</t>
  </si>
  <si>
    <t>Item (B) includes any amounts specified in the Docket No. ER22-282-000 Settlement.</t>
  </si>
  <si>
    <t>Depreciation Rates</t>
  </si>
  <si>
    <t>Attachment H (Actuals), Ln 4</t>
  </si>
  <si>
    <t>Sum Lns. (2 through 4)</t>
  </si>
  <si>
    <t xml:space="preserve"> (A) Actual Net Revenue Requirement for Current True-Up Year:</t>
  </si>
  <si>
    <t xml:space="preserve"> (B) Projected Net Revenue Requirement for Current True-Up Year:</t>
  </si>
  <si>
    <t>Total Administrative and General Expenses</t>
  </si>
  <si>
    <t>Prior to January 1, 2023, a portion of the amount shown on this line was recorded in Account No. 408. They are now recorded in Account No. 928.</t>
  </si>
  <si>
    <t>Total Account No. 283 - Balances Subject to Prorationing</t>
  </si>
  <si>
    <t>Total Excess Deferred Income Taxes Acct No. 254 - Balances Not Subject to Prorationing</t>
  </si>
  <si>
    <t>Total Deficient Deferred Income Taxes Acct No. 182.3  - Balances Not Subject to Prorationing</t>
  </si>
  <si>
    <t>Total Deficient Deferred Income Taxes Acct No. 182.3 - Balances Not Subject to Prorationing</t>
  </si>
  <si>
    <r>
      <t>Rates As Settled Docket No. ER22-282</t>
    </r>
    <r>
      <rPr>
        <vertAlign val="superscript"/>
        <sz val="12"/>
        <color theme="1"/>
        <rFont val="Times New Roman"/>
        <family val="1"/>
        <scheme val="minor"/>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</si>
</sst>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0_);\(&quot;$&quot;#,##0.000\)"/>
    <numFmt numFmtId="166" formatCode="0.0000%"/>
    <numFmt numFmtId="167" formatCode="0.0000"/>
    <numFmt numFmtId="168" formatCode="0.0%"/>
    <numFmt numFmtId="169" formatCode="0.000"/>
    <numFmt numFmtId="170" formatCode="_(&quot;$&quot;* #,##0_);_(&quot;$&quot;* \(#,##0\);_(&quot;$&quot;* &quot;-&quot;??_);_(@_)"/>
    <numFmt numFmtId="171" formatCode="_(* #,##0.000_);_(* \(#,##0.000\);_(* &quot;-&quot;??_);_(@_)"/>
    <numFmt numFmtId="172" formatCode="&quot;$&quot;#,##0.0000_);\(&quot;$&quot;#,##0.0000\)"/>
  </numFmts>
  <fonts count="44" x14ac:knownFonts="1">
    <font>
      <sz val="12"/>
      <color theme="1"/>
      <name val="Times New Roman"/>
      <family val="2"/>
      <scheme val="minor"/>
    </font>
    <font>
      <sz val="11"/>
      <color theme="1"/>
      <name val="Times New Roman"/>
      <family val="2"/>
      <scheme val="minor"/>
    </font>
    <font>
      <sz val="12"/>
      <color theme="1"/>
      <name val="Times New Roman"/>
      <family val="2"/>
      <scheme val="minor"/>
    </font>
    <font>
      <b/>
      <sz val="12"/>
      <color theme="1"/>
      <name val="Times New Roman"/>
      <family val="1"/>
      <scheme val="minor"/>
    </font>
    <font>
      <u/>
      <sz val="12"/>
      <color theme="1"/>
      <name val="Times New Roman"/>
      <family val="2"/>
      <scheme val="minor"/>
    </font>
    <font>
      <sz val="12"/>
      <color theme="1"/>
      <name val="Times New Roman"/>
      <family val="1"/>
      <scheme val="minor"/>
    </font>
    <font>
      <u/>
      <sz val="12"/>
      <color theme="1"/>
      <name val="Times New Roman"/>
      <family val="1"/>
      <scheme val="minor"/>
    </font>
    <font>
      <sz val="8"/>
      <name val="Times New Roman"/>
      <family val="2"/>
      <scheme val="minor"/>
    </font>
    <font>
      <b/>
      <u/>
      <sz val="12"/>
      <color theme="1"/>
      <name val="Times New Roman"/>
      <family val="1"/>
      <scheme val="minor"/>
    </font>
    <font>
      <vertAlign val="superscript"/>
      <sz val="12"/>
      <color theme="1"/>
      <name val="Times New Roman"/>
      <family val="1"/>
      <scheme val="minor"/>
    </font>
    <font>
      <vertAlign val="superscript"/>
      <sz val="12"/>
      <color theme="1"/>
      <name val="Times New Roman"/>
      <family val="2"/>
      <scheme val="minor"/>
    </font>
    <font>
      <b/>
      <vertAlign val="superscript"/>
      <sz val="12"/>
      <color theme="1"/>
      <name val="Times New Roman"/>
      <family val="1"/>
      <scheme val="minor"/>
    </font>
    <font>
      <sz val="10"/>
      <color theme="1"/>
      <name val="Times New Roman"/>
      <family val="2"/>
      <scheme val="minor"/>
    </font>
    <font>
      <sz val="9"/>
      <color theme="1"/>
      <name val="Times New Roman"/>
      <family val="2"/>
      <scheme val="minor"/>
    </font>
    <font>
      <sz val="12"/>
      <color theme="1"/>
      <name val="Times New Roman"/>
      <family val="2"/>
    </font>
    <font>
      <sz val="8"/>
      <color theme="1"/>
      <name val="Times New Roman"/>
      <family val="2"/>
      <scheme val="minor"/>
    </font>
    <font>
      <sz val="11"/>
      <color theme="1"/>
      <name val="Times New Roman"/>
      <family val="2"/>
      <scheme val="minor"/>
    </font>
    <font>
      <i/>
      <sz val="12"/>
      <color theme="1"/>
      <name val="Times New Roman"/>
      <family val="1"/>
      <scheme val="minor"/>
    </font>
    <font>
      <i/>
      <sz val="10"/>
      <color theme="1"/>
      <name val="Times New Roman"/>
      <family val="1"/>
      <scheme val="minor"/>
    </font>
    <font>
      <sz val="10"/>
      <color theme="1"/>
      <name val="Times New Roman"/>
      <family val="1"/>
      <scheme val="minor"/>
    </font>
    <font>
      <vertAlign val="superscript"/>
      <sz val="9"/>
      <color theme="1"/>
      <name val="Times New Roman"/>
      <family val="1"/>
      <scheme val="minor"/>
    </font>
    <font>
      <vertAlign val="superscript"/>
      <sz val="10"/>
      <color theme="1"/>
      <name val="Times New Roman"/>
      <family val="1"/>
      <scheme val="minor"/>
    </font>
    <font>
      <u/>
      <sz val="10"/>
      <color theme="1"/>
      <name val="Times New Roman"/>
      <family val="2"/>
      <scheme val="minor"/>
    </font>
    <font>
      <sz val="11"/>
      <color theme="1"/>
      <name val="Times New Roman"/>
      <family val="1"/>
      <scheme val="minor"/>
    </font>
    <font>
      <vertAlign val="superscript"/>
      <sz val="11"/>
      <color theme="1"/>
      <name val="Times New Roman"/>
      <family val="1"/>
      <scheme val="minor"/>
    </font>
    <font>
      <sz val="12"/>
      <color theme="1"/>
      <name val="Calibri"/>
      <family val="2"/>
    </font>
    <font>
      <u/>
      <sz val="11"/>
      <color theme="1"/>
      <name val="Times New Roman"/>
      <family val="2"/>
      <scheme val="minor"/>
    </font>
    <font>
      <u/>
      <sz val="9"/>
      <color theme="1"/>
      <name val="Times New Roman"/>
      <family val="2"/>
      <scheme val="minor"/>
    </font>
    <font>
      <u/>
      <sz val="11"/>
      <color theme="1"/>
      <name val="Times New Roman"/>
      <family val="1"/>
      <scheme val="minor"/>
    </font>
    <font>
      <b/>
      <u/>
      <sz val="9"/>
      <color theme="1"/>
      <name val="Times New Roman"/>
      <family val="1"/>
      <scheme val="minor"/>
    </font>
    <font>
      <i/>
      <sz val="9"/>
      <color theme="1"/>
      <name val="Times New Roman"/>
      <family val="1"/>
      <scheme val="minor"/>
    </font>
    <font>
      <sz val="10"/>
      <name val="Arial"/>
      <family val="2"/>
    </font>
    <font>
      <sz val="12"/>
      <name val="Times New Roman"/>
      <family val="2"/>
      <scheme val="minor"/>
    </font>
    <font>
      <u/>
      <sz val="12"/>
      <color theme="10"/>
      <name val="Times New Roman"/>
      <family val="2"/>
      <scheme val="minor"/>
    </font>
    <font>
      <sz val="12"/>
      <name val="Times New Roman"/>
      <family val="1"/>
      <scheme val="minor"/>
    </font>
    <font>
      <b/>
      <sz val="12"/>
      <name val="Times New Roman"/>
      <family val="1"/>
      <scheme val="minor"/>
    </font>
    <font>
      <u/>
      <vertAlign val="superscript"/>
      <sz val="10"/>
      <color theme="1"/>
      <name val="Times New Roman"/>
      <family val="1"/>
      <scheme val="minor"/>
    </font>
    <font>
      <sz val="12"/>
      <color rgb="FF000000"/>
      <name val="Times New Roman"/>
      <family val="1"/>
    </font>
    <font>
      <sz val="12"/>
      <name val="Times New Roman"/>
      <family val="1"/>
    </font>
    <font>
      <sz val="11"/>
      <color rgb="FFFF0000"/>
      <name val="Times New Roman"/>
      <family val="1"/>
      <scheme val="minor"/>
    </font>
    <font>
      <sz val="12"/>
      <color rgb="FFFF0000"/>
      <name val="Times New Roman"/>
      <family val="2"/>
      <scheme val="minor"/>
    </font>
    <font>
      <sz val="10"/>
      <color theme="1"/>
      <name val="Arial"/>
      <family val="2"/>
    </font>
    <font>
      <strike/>
      <sz val="12"/>
      <color theme="1"/>
      <name val="Times New Roman"/>
      <family val="2"/>
      <scheme val="minor"/>
    </font>
    <font>
      <b/>
      <sz val="9"/>
      <color theme="1"/>
      <name val="Times New Roman"/>
      <family val="1"/>
      <scheme val="minor"/>
    </font>
  </fonts>
  <fills count="3">
    <fill>
      <patternFill patternType="none"/>
    </fill>
    <fill>
      <patternFill patternType="gray125"/>
    </fill>
    <fill>
      <patternFill patternType="solid">
        <fgColor rgb="FFFFFF99"/>
        <bgColor indexed="64"/>
      </patternFill>
    </fill>
  </fills>
  <borders count="29">
    <border>
      <left/>
      <right/>
      <top/>
      <bottom/>
      <diagonal/>
    </border>
    <border>
      <left/>
      <right/>
      <top/>
      <bottom style="double">
        <color indexed="64"/>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right style="thin">
        <color indexed="64"/>
      </right>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right/>
      <top style="thin">
        <color indexed="64"/>
      </top>
      <bottom style="medium">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xf numFmtId="43" fontId="2" fillId="0" borderId="0" applyFont="0" applyFill="0" applyBorder="0" applyAlignment="0" applyProtection="0"/>
    <xf numFmtId="9" fontId="2" fillId="0" borderId="0" applyFon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3" fillId="0" borderId="0" applyNumberFormat="0" applyFill="0" applyBorder="0" applyAlignment="0" applyProtection="0"/>
    <xf numFmtId="44" fontId="2" fillId="0" borderId="0" applyFont="0" applyFill="0" applyBorder="0" applyAlignment="0" applyProtection="0"/>
  </cellStyleXfs>
  <cellXfs count="294">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xf numFmtId="0" fontId="0" fillId="0" borderId="2" xfId="0" applyBorder="1"/>
    <xf numFmtId="0" fontId="3" fillId="0" borderId="0" xfId="0" applyFont="1"/>
    <xf numFmtId="0" fontId="0" fillId="0" borderId="0" xfId="0" applyAlignment="1">
      <alignment horizontal="left" indent="1"/>
    </xf>
    <xf numFmtId="0" fontId="0" fillId="0" borderId="0" xfId="0" applyAlignment="1">
      <alignment horizontal="right"/>
    </xf>
    <xf numFmtId="0" fontId="0" fillId="0" borderId="3" xfId="0" applyBorder="1"/>
    <xf numFmtId="5" fontId="0" fillId="0" borderId="0" xfId="0" applyNumberFormat="1"/>
    <xf numFmtId="5" fontId="0" fillId="0" borderId="3" xfId="0" applyNumberFormat="1" applyBorder="1"/>
    <xf numFmtId="0" fontId="4" fillId="0" borderId="0" xfId="0" applyFont="1"/>
    <xf numFmtId="5" fontId="0" fillId="0" borderId="4" xfId="0" applyNumberFormat="1" applyBorder="1"/>
    <xf numFmtId="0" fontId="0" fillId="0" borderId="2" xfId="0" applyBorder="1" applyAlignment="1">
      <alignment horizontal="center"/>
    </xf>
    <xf numFmtId="0" fontId="0" fillId="0" borderId="0" xfId="0" applyAlignment="1">
      <alignment horizontal="left"/>
    </xf>
    <xf numFmtId="0" fontId="3" fillId="0" borderId="0" xfId="0" applyFont="1" applyAlignment="1">
      <alignment horizontal="center"/>
    </xf>
    <xf numFmtId="0" fontId="6" fillId="0" borderId="0" xfId="0" applyFont="1" applyAlignment="1">
      <alignment horizontal="left"/>
    </xf>
    <xf numFmtId="0" fontId="5" fillId="0" borderId="0" xfId="0" applyFont="1" applyAlignment="1">
      <alignment horizontal="left" indent="1"/>
    </xf>
    <xf numFmtId="5" fontId="0" fillId="0" borderId="5" xfId="0" applyNumberFormat="1" applyBorder="1"/>
    <xf numFmtId="5" fontId="0" fillId="2" borderId="0" xfId="0" applyNumberFormat="1" applyFill="1"/>
    <xf numFmtId="0" fontId="8" fillId="0" borderId="0" xfId="0" applyFont="1"/>
    <xf numFmtId="0" fontId="3" fillId="0" borderId="0" xfId="0" applyFont="1" applyAlignment="1">
      <alignment horizontal="left"/>
    </xf>
    <xf numFmtId="0" fontId="10" fillId="0" borderId="0" xfId="0" applyFont="1" applyAlignment="1">
      <alignment horizontal="center"/>
    </xf>
    <xf numFmtId="0" fontId="0" fillId="0" borderId="1" xfId="0" applyBorder="1" applyAlignment="1">
      <alignment horizontal="center"/>
    </xf>
    <xf numFmtId="0" fontId="0" fillId="0" borderId="0" xfId="0" quotePrefix="1" applyAlignment="1">
      <alignment horizontal="center"/>
    </xf>
    <xf numFmtId="10" fontId="0" fillId="0" borderId="0" xfId="2" applyNumberFormat="1" applyFont="1" applyAlignment="1">
      <alignment horizontal="right"/>
    </xf>
    <xf numFmtId="10" fontId="0" fillId="0" borderId="0" xfId="2" applyNumberFormat="1" applyFont="1" applyFill="1" applyAlignment="1">
      <alignment horizontal="center"/>
    </xf>
    <xf numFmtId="5" fontId="3" fillId="0" borderId="3" xfId="0" applyNumberFormat="1" applyFont="1" applyBorder="1"/>
    <xf numFmtId="5" fontId="3" fillId="0" borderId="4" xfId="0" applyNumberFormat="1" applyFont="1" applyBorder="1"/>
    <xf numFmtId="10" fontId="0" fillId="0" borderId="0" xfId="2" applyNumberFormat="1" applyFont="1" applyBorder="1" applyAlignment="1">
      <alignment horizontal="right"/>
    </xf>
    <xf numFmtId="0" fontId="0" fillId="2" borderId="6" xfId="0" applyFill="1" applyBorder="1" applyAlignment="1">
      <alignment horizontal="center"/>
    </xf>
    <xf numFmtId="0" fontId="0" fillId="2" borderId="6" xfId="0" applyFill="1" applyBorder="1"/>
    <xf numFmtId="0" fontId="0" fillId="2" borderId="7" xfId="0" applyFill="1" applyBorder="1" applyAlignment="1">
      <alignment horizontal="center"/>
    </xf>
    <xf numFmtId="0" fontId="0" fillId="2" borderId="7" xfId="0" applyFill="1" applyBorder="1"/>
    <xf numFmtId="0" fontId="0" fillId="2" borderId="2" xfId="0" applyFill="1" applyBorder="1"/>
    <xf numFmtId="0" fontId="0" fillId="0" borderId="3" xfId="0" applyBorder="1" applyAlignment="1">
      <alignment horizontal="center"/>
    </xf>
    <xf numFmtId="5" fontId="0" fillId="2" borderId="6" xfId="0" applyNumberFormat="1" applyFill="1" applyBorder="1"/>
    <xf numFmtId="5" fontId="0" fillId="2" borderId="7" xfId="0" applyNumberFormat="1" applyFill="1" applyBorder="1"/>
    <xf numFmtId="5" fontId="0" fillId="2" borderId="2" xfId="0" applyNumberFormat="1" applyFill="1" applyBorder="1"/>
    <xf numFmtId="0" fontId="0" fillId="0" borderId="0" xfId="0" applyAlignment="1">
      <alignment horizontal="center" wrapText="1"/>
    </xf>
    <xf numFmtId="5" fontId="0" fillId="0" borderId="6" xfId="0" applyNumberFormat="1" applyBorder="1"/>
    <xf numFmtId="164" fontId="0" fillId="2" borderId="6" xfId="1" applyNumberFormat="1" applyFont="1" applyFill="1" applyBorder="1"/>
    <xf numFmtId="10" fontId="0" fillId="2" borderId="6" xfId="2" applyNumberFormat="1" applyFont="1" applyFill="1" applyBorder="1" applyAlignment="1">
      <alignment horizontal="center"/>
    </xf>
    <xf numFmtId="0" fontId="0" fillId="0" borderId="6" xfId="0" quotePrefix="1" applyBorder="1" applyAlignment="1">
      <alignment horizontal="center"/>
    </xf>
    <xf numFmtId="10" fontId="0" fillId="0" borderId="6" xfId="2" applyNumberFormat="1" applyFont="1" applyFill="1" applyBorder="1" applyAlignment="1">
      <alignment horizontal="center"/>
    </xf>
    <xf numFmtId="0" fontId="0" fillId="2" borderId="6" xfId="0" applyFill="1" applyBorder="1" applyAlignment="1">
      <alignment horizontal="left"/>
    </xf>
    <xf numFmtId="0" fontId="13" fillId="0" borderId="0" xfId="0" applyFont="1" applyAlignment="1">
      <alignment horizontal="center" vertical="center" wrapText="1"/>
    </xf>
    <xf numFmtId="0" fontId="0" fillId="2" borderId="0" xfId="0" applyFill="1" applyAlignment="1">
      <alignment horizontal="left"/>
    </xf>
    <xf numFmtId="0" fontId="0" fillId="0" borderId="5" xfId="0" applyBorder="1" applyAlignment="1">
      <alignment horizontal="center"/>
    </xf>
    <xf numFmtId="0" fontId="0" fillId="0" borderId="5" xfId="0" applyBorder="1"/>
    <xf numFmtId="0" fontId="0" fillId="0" borderId="4" xfId="0" applyBorder="1" applyAlignment="1">
      <alignment horizontal="center"/>
    </xf>
    <xf numFmtId="0" fontId="0" fillId="0" borderId="4" xfId="0" applyBorder="1"/>
    <xf numFmtId="0" fontId="0" fillId="2" borderId="7" xfId="0" applyFill="1" applyBorder="1" applyAlignment="1">
      <alignment horizontal="left"/>
    </xf>
    <xf numFmtId="0" fontId="0" fillId="2" borderId="8" xfId="0" applyFill="1" applyBorder="1" applyAlignment="1">
      <alignment horizontal="left"/>
    </xf>
    <xf numFmtId="5" fontId="0" fillId="2" borderId="8" xfId="0" applyNumberFormat="1" applyFill="1" applyBorder="1"/>
    <xf numFmtId="0" fontId="3" fillId="0" borderId="4" xfId="0" applyFont="1" applyBorder="1" applyAlignment="1">
      <alignment horizontal="center"/>
    </xf>
    <xf numFmtId="0" fontId="3" fillId="0" borderId="4" xfId="0" applyFont="1" applyBorder="1"/>
    <xf numFmtId="10" fontId="0" fillId="0" borderId="0" xfId="2" applyNumberFormat="1" applyFont="1"/>
    <xf numFmtId="10" fontId="0" fillId="2" borderId="6" xfId="2" applyNumberFormat="1" applyFont="1" applyFill="1" applyBorder="1"/>
    <xf numFmtId="10" fontId="0" fillId="0" borderId="0" xfId="2" applyNumberFormat="1" applyFont="1" applyBorder="1"/>
    <xf numFmtId="10" fontId="0" fillId="0" borderId="0" xfId="2" applyNumberFormat="1" applyFont="1" applyFill="1" applyBorder="1"/>
    <xf numFmtId="10" fontId="0" fillId="0" borderId="0" xfId="0" applyNumberFormat="1"/>
    <xf numFmtId="0" fontId="4" fillId="0" borderId="0" xfId="0" applyFont="1" applyAlignment="1">
      <alignment horizontal="left"/>
    </xf>
    <xf numFmtId="5" fontId="0" fillId="0" borderId="2" xfId="0" applyNumberFormat="1" applyBorder="1"/>
    <xf numFmtId="0" fontId="3" fillId="0" borderId="0" xfId="0" applyFont="1" applyAlignment="1">
      <alignment horizontal="center" wrapText="1"/>
    </xf>
    <xf numFmtId="10" fontId="0" fillId="0" borderId="3" xfId="0" applyNumberFormat="1" applyBorder="1"/>
    <xf numFmtId="5" fontId="0" fillId="0" borderId="1" xfId="0" applyNumberFormat="1" applyBorder="1"/>
    <xf numFmtId="164" fontId="0" fillId="0" borderId="6" xfId="0" applyNumberFormat="1" applyBorder="1"/>
    <xf numFmtId="164" fontId="0" fillId="0" borderId="5" xfId="1" applyNumberFormat="1" applyFont="1" applyBorder="1"/>
    <xf numFmtId="164" fontId="0" fillId="0" borderId="0" xfId="1" applyNumberFormat="1" applyFont="1" applyBorder="1"/>
    <xf numFmtId="164" fontId="0" fillId="0" borderId="0" xfId="1" applyNumberFormat="1" applyFont="1" applyFill="1"/>
    <xf numFmtId="165" fontId="0" fillId="0" borderId="0" xfId="0" applyNumberFormat="1"/>
    <xf numFmtId="0" fontId="0" fillId="2" borderId="0" xfId="0" applyFill="1" applyAlignment="1">
      <alignment horizontal="center"/>
    </xf>
    <xf numFmtId="10" fontId="0" fillId="0" borderId="0" xfId="2" applyNumberFormat="1" applyFont="1" applyFill="1" applyBorder="1" applyAlignment="1">
      <alignment horizontal="center"/>
    </xf>
    <xf numFmtId="0" fontId="0" fillId="0" borderId="6" xfId="0" applyBorder="1"/>
    <xf numFmtId="10" fontId="0" fillId="0" borderId="6" xfId="0" applyNumberFormat="1" applyBorder="1" applyAlignment="1">
      <alignment horizontal="center"/>
    </xf>
    <xf numFmtId="0" fontId="18" fillId="0" borderId="0" xfId="0" applyFont="1" applyAlignment="1">
      <alignment horizontal="center"/>
    </xf>
    <xf numFmtId="0" fontId="17" fillId="0" borderId="0" xfId="0" applyFont="1" applyAlignment="1">
      <alignment vertical="center"/>
    </xf>
    <xf numFmtId="0" fontId="18" fillId="0" borderId="0" xfId="0" applyFont="1" applyAlignment="1">
      <alignment horizontal="center" vertical="center" wrapText="1"/>
    </xf>
    <xf numFmtId="0" fontId="0" fillId="0" borderId="0" xfId="0" applyAlignment="1">
      <alignment vertical="center"/>
    </xf>
    <xf numFmtId="0" fontId="19" fillId="0" borderId="0" xfId="0" applyFont="1" applyAlignment="1">
      <alignment vertical="center"/>
    </xf>
    <xf numFmtId="0" fontId="10" fillId="0" borderId="0" xfId="0" applyFont="1" applyAlignment="1">
      <alignment horizontal="center" vertical="center"/>
    </xf>
    <xf numFmtId="0" fontId="5" fillId="0" borderId="0" xfId="0" applyFont="1" applyAlignment="1">
      <alignment horizontal="left"/>
    </xf>
    <xf numFmtId="0" fontId="15" fillId="0" borderId="0" xfId="0" applyFont="1" applyAlignment="1">
      <alignment horizontal="center" vertical="center" wrapText="1"/>
    </xf>
    <xf numFmtId="0" fontId="10" fillId="0" borderId="0" xfId="0" applyFont="1" applyAlignment="1">
      <alignment horizontal="center" vertical="top"/>
    </xf>
    <xf numFmtId="0" fontId="0" fillId="0" borderId="0" xfId="0" applyAlignment="1">
      <alignment horizontal="left" vertical="top" wrapText="1"/>
    </xf>
    <xf numFmtId="0" fontId="0" fillId="0" borderId="0" xfId="0" applyAlignment="1">
      <alignment vertical="top" wrapText="1"/>
    </xf>
    <xf numFmtId="0" fontId="3" fillId="0" borderId="5" xfId="0" applyFont="1" applyBorder="1" applyAlignment="1">
      <alignment horizontal="center"/>
    </xf>
    <xf numFmtId="0" fontId="3" fillId="0" borderId="5" xfId="0" applyFont="1" applyBorder="1"/>
    <xf numFmtId="5" fontId="3" fillId="0" borderId="5" xfId="0" applyNumberFormat="1" applyFont="1" applyBorder="1"/>
    <xf numFmtId="10" fontId="0" fillId="0" borderId="0" xfId="2" quotePrefix="1" applyNumberFormat="1" applyFont="1" applyFill="1" applyBorder="1"/>
    <xf numFmtId="0" fontId="18" fillId="0" borderId="0" xfId="0" applyFont="1" applyAlignment="1">
      <alignment horizontal="center" vertical="center"/>
    </xf>
    <xf numFmtId="0" fontId="9" fillId="0" borderId="0" xfId="0" applyFont="1" applyAlignment="1">
      <alignment horizontal="center"/>
    </xf>
    <xf numFmtId="0" fontId="0" fillId="0" borderId="0" xfId="0" applyAlignment="1">
      <alignment horizontal="left" vertical="center" indent="1"/>
    </xf>
    <xf numFmtId="0" fontId="0" fillId="0" borderId="6" xfId="0" applyBorder="1" applyAlignment="1">
      <alignment horizontal="left" vertical="center" indent="1"/>
    </xf>
    <xf numFmtId="0" fontId="0" fillId="0" borderId="5" xfId="0" applyBorder="1" applyAlignment="1">
      <alignment horizontal="left" vertical="center" indent="1"/>
    </xf>
    <xf numFmtId="0" fontId="17" fillId="0" borderId="0" xfId="0" applyFont="1" applyAlignment="1">
      <alignment horizontal="left" indent="1"/>
    </xf>
    <xf numFmtId="10" fontId="3" fillId="0" borderId="0" xfId="2" applyNumberFormat="1" applyFont="1"/>
    <xf numFmtId="10" fontId="3" fillId="0" borderId="0" xfId="0" applyNumberFormat="1" applyFont="1"/>
    <xf numFmtId="0" fontId="0" fillId="0" borderId="6" xfId="0" applyBorder="1" applyAlignment="1">
      <alignment horizontal="center"/>
    </xf>
    <xf numFmtId="0" fontId="0" fillId="0" borderId="7" xfId="0" applyBorder="1" applyAlignment="1">
      <alignment horizontal="center"/>
    </xf>
    <xf numFmtId="0" fontId="5" fillId="0" borderId="0" xfId="0" applyFont="1" applyAlignment="1">
      <alignment horizontal="center" wrapText="1"/>
    </xf>
    <xf numFmtId="0" fontId="0" fillId="0" borderId="0" xfId="0" applyAlignment="1">
      <alignment vertical="center" wrapText="1"/>
    </xf>
    <xf numFmtId="0" fontId="0" fillId="2" borderId="0" xfId="0" applyFill="1"/>
    <xf numFmtId="10" fontId="0" fillId="2" borderId="0" xfId="2" applyNumberFormat="1" applyFont="1" applyFill="1" applyBorder="1" applyAlignment="1">
      <alignment horizontal="center"/>
    </xf>
    <xf numFmtId="10" fontId="0" fillId="0" borderId="0" xfId="0" applyNumberFormat="1" applyAlignment="1">
      <alignment horizontal="center"/>
    </xf>
    <xf numFmtId="0" fontId="0" fillId="0" borderId="9" xfId="0" applyBorder="1" applyAlignment="1">
      <alignment horizontal="center" vertical="center" wrapText="1"/>
    </xf>
    <xf numFmtId="0" fontId="0" fillId="0" borderId="9" xfId="0" applyBorder="1" applyAlignment="1">
      <alignment horizontal="center" vertical="center"/>
    </xf>
    <xf numFmtId="2" fontId="0" fillId="0" borderId="0" xfId="0" applyNumberFormat="1" applyAlignment="1">
      <alignment horizontal="center"/>
    </xf>
    <xf numFmtId="10" fontId="0" fillId="0" borderId="0" xfId="2" applyNumberFormat="1" applyFont="1" applyAlignment="1">
      <alignment horizontal="center"/>
    </xf>
    <xf numFmtId="10" fontId="0" fillId="0" borderId="0" xfId="2" applyNumberFormat="1" applyFont="1" applyBorder="1" applyAlignment="1">
      <alignment horizontal="center"/>
    </xf>
    <xf numFmtId="0" fontId="0" fillId="0" borderId="0" xfId="0" applyAlignment="1">
      <alignment horizontal="left" vertical="center" wrapText="1"/>
    </xf>
    <xf numFmtId="0" fontId="8" fillId="0" borderId="0" xfId="0" applyFont="1" applyAlignment="1">
      <alignment wrapText="1"/>
    </xf>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10" fontId="0" fillId="0" borderId="2" xfId="2" applyNumberFormat="1" applyFont="1" applyFill="1" applyBorder="1" applyAlignment="1">
      <alignment horizontal="center"/>
    </xf>
    <xf numFmtId="10" fontId="0" fillId="0" borderId="15" xfId="2" applyNumberFormat="1" applyFont="1" applyFill="1" applyBorder="1" applyAlignment="1">
      <alignment horizontal="center"/>
    </xf>
    <xf numFmtId="10" fontId="0" fillId="0" borderId="16" xfId="2" applyNumberFormat="1" applyFont="1" applyFill="1" applyBorder="1" applyAlignment="1">
      <alignment horizontal="center"/>
    </xf>
    <xf numFmtId="10" fontId="0" fillId="0" borderId="17" xfId="2" applyNumberFormat="1" applyFont="1"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10" fontId="0" fillId="0" borderId="21" xfId="2" applyNumberFormat="1" applyFont="1" applyFill="1" applyBorder="1" applyAlignment="1">
      <alignment horizontal="center"/>
    </xf>
    <xf numFmtId="10" fontId="0" fillId="0" borderId="22" xfId="2" applyNumberFormat="1" applyFont="1" applyFill="1" applyBorder="1" applyAlignment="1">
      <alignment horizontal="center"/>
    </xf>
    <xf numFmtId="5" fontId="3" fillId="0" borderId="0" xfId="0" applyNumberFormat="1" applyFont="1"/>
    <xf numFmtId="0" fontId="5" fillId="0" borderId="0" xfId="0" applyFont="1" applyAlignment="1">
      <alignment horizontal="center"/>
    </xf>
    <xf numFmtId="0" fontId="5" fillId="0" borderId="0" xfId="0" applyFont="1"/>
    <xf numFmtId="5" fontId="5" fillId="0" borderId="0" xfId="0" applyNumberFormat="1" applyFont="1"/>
    <xf numFmtId="14" fontId="0" fillId="2" borderId="0" xfId="0" applyNumberFormat="1" applyFill="1" applyAlignment="1">
      <alignment horizontal="center"/>
    </xf>
    <xf numFmtId="14" fontId="0" fillId="0" borderId="0" xfId="0" applyNumberFormat="1" applyAlignment="1">
      <alignment horizontal="center"/>
    </xf>
    <xf numFmtId="0" fontId="1" fillId="0" borderId="0" xfId="0" applyFont="1" applyAlignment="1">
      <alignment horizontal="center" vertical="center" wrapText="1"/>
    </xf>
    <xf numFmtId="0" fontId="6" fillId="0" borderId="0" xfId="0" applyFont="1"/>
    <xf numFmtId="5" fontId="0" fillId="0" borderId="23" xfId="0" applyNumberFormat="1" applyBorder="1"/>
    <xf numFmtId="0" fontId="0" fillId="0" borderId="23" xfId="0" applyBorder="1" applyAlignment="1">
      <alignment horizontal="center"/>
    </xf>
    <xf numFmtId="0" fontId="0" fillId="0" borderId="23" xfId="0" applyBorder="1"/>
    <xf numFmtId="0" fontId="3" fillId="0" borderId="23" xfId="0" applyFont="1" applyBorder="1" applyAlignment="1">
      <alignment horizontal="center"/>
    </xf>
    <xf numFmtId="0" fontId="3" fillId="0" borderId="23" xfId="0" applyFont="1" applyBorder="1"/>
    <xf numFmtId="5" fontId="3" fillId="0" borderId="23" xfId="0" applyNumberFormat="1" applyFont="1" applyBorder="1"/>
    <xf numFmtId="5" fontId="0" fillId="0" borderId="6" xfId="0" quotePrefix="1" applyNumberFormat="1" applyBorder="1"/>
    <xf numFmtId="0" fontId="4" fillId="0" borderId="0" xfId="0" applyFont="1" applyAlignment="1">
      <alignment horizontal="center"/>
    </xf>
    <xf numFmtId="0" fontId="0" fillId="0" borderId="0" xfId="0" applyAlignment="1">
      <alignment horizontal="left" wrapText="1"/>
    </xf>
    <xf numFmtId="5" fontId="0" fillId="2" borderId="6" xfId="0" applyNumberFormat="1" applyFill="1" applyBorder="1" applyAlignment="1">
      <alignment horizontal="right"/>
    </xf>
    <xf numFmtId="10" fontId="0" fillId="0" borderId="0" xfId="2" applyNumberFormat="1" applyFont="1" applyFill="1"/>
    <xf numFmtId="10" fontId="0" fillId="0" borderId="6" xfId="2" applyNumberFormat="1" applyFont="1" applyBorder="1" applyAlignment="1">
      <alignment horizontal="center"/>
    </xf>
    <xf numFmtId="0" fontId="17" fillId="0" borderId="0" xfId="0" applyFont="1" applyAlignment="1">
      <alignment horizontal="right" wrapText="1" indent="1"/>
    </xf>
    <xf numFmtId="164" fontId="0" fillId="2" borderId="0" xfId="1" applyNumberFormat="1" applyFont="1" applyFill="1" applyBorder="1" applyAlignment="1">
      <alignment horizontal="center" wrapText="1"/>
    </xf>
    <xf numFmtId="0" fontId="0" fillId="0" borderId="0" xfId="0" applyAlignment="1">
      <alignment horizontal="right" wrapText="1"/>
    </xf>
    <xf numFmtId="0" fontId="13" fillId="0" borderId="0" xfId="0" applyFont="1" applyAlignment="1">
      <alignment horizontal="center" vertical="center"/>
    </xf>
    <xf numFmtId="0" fontId="0" fillId="0" borderId="24" xfId="0" applyBorder="1" applyAlignment="1">
      <alignment horizontal="center" vertical="center" wrapText="1"/>
    </xf>
    <xf numFmtId="5" fontId="0" fillId="2" borderId="16" xfId="0" applyNumberFormat="1" applyFill="1" applyBorder="1"/>
    <xf numFmtId="5" fontId="0" fillId="2" borderId="24" xfId="0" applyNumberFormat="1" applyFill="1" applyBorder="1"/>
    <xf numFmtId="5" fontId="3" fillId="0" borderId="14" xfId="0" applyNumberFormat="1" applyFont="1" applyBorder="1"/>
    <xf numFmtId="0" fontId="0" fillId="0" borderId="24" xfId="0" applyBorder="1" applyAlignment="1">
      <alignment horizontal="center" vertical="center"/>
    </xf>
    <xf numFmtId="0" fontId="0" fillId="0" borderId="13" xfId="0" applyBorder="1"/>
    <xf numFmtId="0" fontId="0" fillId="0" borderId="9" xfId="0" applyBorder="1"/>
    <xf numFmtId="5" fontId="0" fillId="2" borderId="12" xfId="0" applyNumberFormat="1" applyFill="1" applyBorder="1"/>
    <xf numFmtId="5" fontId="0" fillId="2" borderId="9" xfId="0" applyNumberFormat="1" applyFill="1" applyBorder="1"/>
    <xf numFmtId="5" fontId="3" fillId="0" borderId="10" xfId="0" applyNumberFormat="1" applyFont="1" applyBorder="1"/>
    <xf numFmtId="1" fontId="0" fillId="0" borderId="0" xfId="0" applyNumberFormat="1" applyAlignment="1">
      <alignment horizontal="center"/>
    </xf>
    <xf numFmtId="1" fontId="0" fillId="0" borderId="2" xfId="0" applyNumberFormat="1" applyBorder="1" applyAlignment="1">
      <alignment horizontal="center"/>
    </xf>
    <xf numFmtId="10" fontId="0" fillId="2" borderId="20" xfId="2" applyNumberFormat="1" applyFont="1" applyFill="1" applyBorder="1" applyAlignment="1">
      <alignment horizontal="center"/>
    </xf>
    <xf numFmtId="0" fontId="0" fillId="2" borderId="6" xfId="2" applyNumberFormat="1" applyFont="1" applyFill="1" applyBorder="1" applyAlignment="1">
      <alignment horizontal="center"/>
    </xf>
    <xf numFmtId="1" fontId="0" fillId="0" borderId="5" xfId="0" applyNumberFormat="1" applyBorder="1" applyAlignment="1">
      <alignment horizontal="center"/>
    </xf>
    <xf numFmtId="0" fontId="30" fillId="0" borderId="5" xfId="0" applyFont="1" applyBorder="1"/>
    <xf numFmtId="166" fontId="0" fillId="0" borderId="0" xfId="2" applyNumberFormat="1" applyFont="1" applyFill="1" applyBorder="1" applyAlignment="1">
      <alignment horizontal="center"/>
    </xf>
    <xf numFmtId="166" fontId="0" fillId="0" borderId="3" xfId="2" applyNumberFormat="1" applyFont="1" applyFill="1" applyBorder="1" applyAlignment="1">
      <alignment horizontal="center"/>
    </xf>
    <xf numFmtId="166" fontId="0" fillId="0" borderId="2" xfId="2" applyNumberFormat="1" applyFont="1" applyFill="1" applyBorder="1" applyAlignment="1">
      <alignment horizontal="center"/>
    </xf>
    <xf numFmtId="166" fontId="0" fillId="0" borderId="0" xfId="2" applyNumberFormat="1" applyFont="1" applyBorder="1" applyAlignment="1">
      <alignment horizontal="center"/>
    </xf>
    <xf numFmtId="0" fontId="17" fillId="0" borderId="0" xfId="0" applyFont="1"/>
    <xf numFmtId="167" fontId="0" fillId="0" borderId="0" xfId="0" applyNumberFormat="1" applyAlignment="1">
      <alignment horizontal="center"/>
    </xf>
    <xf numFmtId="168" fontId="0" fillId="0" borderId="26" xfId="2" applyNumberFormat="1" applyFont="1" applyBorder="1" applyAlignment="1">
      <alignment horizontal="center"/>
    </xf>
    <xf numFmtId="168" fontId="0" fillId="0" borderId="28" xfId="2" applyNumberFormat="1" applyFont="1" applyBorder="1" applyAlignment="1">
      <alignment horizontal="center"/>
    </xf>
    <xf numFmtId="169" fontId="0" fillId="2" borderId="6" xfId="0" applyNumberFormat="1" applyFill="1" applyBorder="1" applyAlignment="1">
      <alignment horizontal="center"/>
    </xf>
    <xf numFmtId="166" fontId="0" fillId="2" borderId="6" xfId="2" applyNumberFormat="1" applyFont="1" applyFill="1" applyBorder="1" applyAlignment="1">
      <alignment horizontal="center"/>
    </xf>
    <xf numFmtId="10" fontId="33" fillId="2" borderId="6" xfId="6" applyNumberFormat="1" applyFill="1" applyBorder="1"/>
    <xf numFmtId="0" fontId="32" fillId="0" borderId="0" xfId="0" applyFont="1" applyAlignment="1">
      <alignment horizontal="center" vertical="center"/>
    </xf>
    <xf numFmtId="0" fontId="5" fillId="0" borderId="0" xfId="0" applyFont="1" applyAlignment="1">
      <alignment horizontal="right"/>
    </xf>
    <xf numFmtId="2" fontId="5" fillId="0" borderId="0" xfId="0" applyNumberFormat="1" applyFont="1" applyAlignment="1">
      <alignment horizontal="center"/>
    </xf>
    <xf numFmtId="41" fontId="5" fillId="0" borderId="0" xfId="4" applyNumberFormat="1" applyFont="1"/>
    <xf numFmtId="10" fontId="5" fillId="0" borderId="0" xfId="5" applyNumberFormat="1" applyFont="1" applyFill="1" applyAlignment="1">
      <alignment horizontal="center"/>
    </xf>
    <xf numFmtId="0" fontId="34" fillId="0" borderId="0" xfId="3" applyFont="1"/>
    <xf numFmtId="41" fontId="35" fillId="0" borderId="0" xfId="4" applyNumberFormat="1" applyFont="1" applyBorder="1"/>
    <xf numFmtId="0" fontId="35" fillId="0" borderId="0" xfId="3" applyFont="1"/>
    <xf numFmtId="0" fontId="34" fillId="0" borderId="0" xfId="3" applyFont="1" applyAlignment="1">
      <alignment vertical="center" wrapText="1"/>
    </xf>
    <xf numFmtId="41" fontId="35" fillId="0" borderId="0" xfId="3" applyNumberFormat="1" applyFont="1"/>
    <xf numFmtId="0" fontId="5" fillId="0" borderId="0" xfId="3" applyFont="1"/>
    <xf numFmtId="41" fontId="35" fillId="0" borderId="5" xfId="4" applyNumberFormat="1" applyFont="1" applyBorder="1"/>
    <xf numFmtId="0" fontId="34" fillId="0" borderId="0" xfId="3" applyFont="1" applyAlignment="1">
      <alignment horizontal="right"/>
    </xf>
    <xf numFmtId="166" fontId="34" fillId="0" borderId="0" xfId="2" applyNumberFormat="1" applyFont="1"/>
    <xf numFmtId="0" fontId="5" fillId="0" borderId="0" xfId="0" applyFont="1" applyAlignment="1">
      <alignment vertical="top"/>
    </xf>
    <xf numFmtId="10" fontId="33" fillId="0" borderId="0" xfId="6" applyNumberFormat="1" applyFill="1" applyBorder="1"/>
    <xf numFmtId="0" fontId="0" fillId="0" borderId="0" xfId="0" applyAlignment="1">
      <alignment vertical="top"/>
    </xf>
    <xf numFmtId="168" fontId="0" fillId="0" borderId="27" xfId="2" applyNumberFormat="1" applyFont="1" applyFill="1" applyBorder="1" applyAlignment="1">
      <alignment horizontal="center"/>
    </xf>
    <xf numFmtId="168" fontId="0" fillId="0" borderId="25" xfId="2" applyNumberFormat="1" applyFont="1" applyFill="1" applyBorder="1" applyAlignment="1">
      <alignment horizontal="center"/>
    </xf>
    <xf numFmtId="0" fontId="34" fillId="0" borderId="2" xfId="3" applyFont="1" applyBorder="1"/>
    <xf numFmtId="41" fontId="5" fillId="0" borderId="2" xfId="4" applyNumberFormat="1" applyFont="1" applyBorder="1"/>
    <xf numFmtId="0" fontId="34" fillId="0" borderId="1" xfId="3" applyFont="1" applyBorder="1"/>
    <xf numFmtId="41" fontId="5" fillId="0" borderId="1" xfId="4" applyNumberFormat="1" applyFont="1" applyBorder="1"/>
    <xf numFmtId="0" fontId="30" fillId="0" borderId="0" xfId="0" applyFont="1" applyAlignment="1">
      <alignment horizontal="center" wrapText="1"/>
    </xf>
    <xf numFmtId="0" fontId="35" fillId="0" borderId="0" xfId="3" applyFont="1" applyAlignment="1">
      <alignment horizontal="left"/>
    </xf>
    <xf numFmtId="164" fontId="5" fillId="0" borderId="0" xfId="0" applyNumberFormat="1" applyFont="1"/>
    <xf numFmtId="164" fontId="0" fillId="0" borderId="0" xfId="0" applyNumberFormat="1"/>
    <xf numFmtId="3" fontId="37" fillId="0" borderId="0" xfId="0" applyNumberFormat="1" applyFont="1" applyAlignment="1">
      <alignment vertical="center"/>
    </xf>
    <xf numFmtId="164" fontId="37" fillId="0" borderId="0" xfId="1" applyNumberFormat="1" applyFont="1" applyBorder="1" applyAlignment="1">
      <alignment vertical="center"/>
    </xf>
    <xf numFmtId="0" fontId="37" fillId="0" borderId="0" xfId="0" applyFont="1" applyAlignment="1">
      <alignment vertical="center"/>
    </xf>
    <xf numFmtId="10" fontId="38" fillId="0" borderId="0" xfId="2" applyNumberFormat="1" applyFont="1" applyFill="1" applyAlignment="1">
      <alignment horizontal="center"/>
    </xf>
    <xf numFmtId="0" fontId="39" fillId="0" borderId="0" xfId="0" applyFont="1" applyAlignment="1">
      <alignment horizontal="left" vertical="center"/>
    </xf>
    <xf numFmtId="170" fontId="41" fillId="0" borderId="7" xfId="7" applyNumberFormat="1" applyFont="1" applyFill="1" applyBorder="1"/>
    <xf numFmtId="0" fontId="0" fillId="0" borderId="0" xfId="0" applyFill="1" applyAlignment="1">
      <alignment horizontal="center"/>
    </xf>
    <xf numFmtId="0" fontId="0" fillId="0" borderId="0" xfId="0" applyFill="1"/>
    <xf numFmtId="5" fontId="0" fillId="0" borderId="3" xfId="0" applyNumberFormat="1" applyFill="1" applyBorder="1"/>
    <xf numFmtId="171" fontId="5" fillId="0" borderId="0" xfId="0" applyNumberFormat="1" applyFont="1"/>
    <xf numFmtId="0" fontId="32" fillId="0" borderId="0" xfId="0" applyFont="1"/>
    <xf numFmtId="165" fontId="32" fillId="0" borderId="0" xfId="0" applyNumberFormat="1" applyFont="1"/>
    <xf numFmtId="0" fontId="5" fillId="0" borderId="0" xfId="0" applyFont="1" applyFill="1" applyAlignment="1">
      <alignment horizontal="center"/>
    </xf>
    <xf numFmtId="0" fontId="5" fillId="0" borderId="2" xfId="0" applyFont="1" applyFill="1" applyBorder="1"/>
    <xf numFmtId="0" fontId="5" fillId="0" borderId="0" xfId="0" applyFont="1" applyFill="1"/>
    <xf numFmtId="0" fontId="0" fillId="0" borderId="0" xfId="0" applyAlignment="1">
      <alignment horizontal="center"/>
    </xf>
    <xf numFmtId="5" fontId="0" fillId="0" borderId="6" xfId="0" applyNumberFormat="1" applyFill="1" applyBorder="1"/>
    <xf numFmtId="0" fontId="40" fillId="0" borderId="0" xfId="0" applyFont="1"/>
    <xf numFmtId="0" fontId="8" fillId="0" borderId="0" xfId="0" applyFont="1" applyFill="1"/>
    <xf numFmtId="2" fontId="0" fillId="0" borderId="0" xfId="0" applyNumberFormat="1" applyFill="1" applyAlignment="1">
      <alignment horizontal="center"/>
    </xf>
    <xf numFmtId="0" fontId="10" fillId="0" borderId="0" xfId="0" applyFont="1" applyFill="1" applyAlignment="1">
      <alignment horizontal="center" vertical="top"/>
    </xf>
    <xf numFmtId="0" fontId="0" fillId="0" borderId="0" xfId="0" applyAlignment="1">
      <alignment wrapText="1"/>
    </xf>
    <xf numFmtId="0" fontId="32" fillId="0" borderId="0" xfId="0" applyFont="1" applyFill="1"/>
    <xf numFmtId="10" fontId="32" fillId="0" borderId="0" xfId="2" applyNumberFormat="1" applyFont="1" applyFill="1" applyBorder="1"/>
    <xf numFmtId="10" fontId="0" fillId="0" borderId="0" xfId="0" applyNumberFormat="1" applyFill="1"/>
    <xf numFmtId="0" fontId="43" fillId="0" borderId="0" xfId="0" applyFont="1" applyFill="1" applyAlignment="1">
      <alignment horizontal="right"/>
    </xf>
    <xf numFmtId="0" fontId="0" fillId="0" borderId="0" xfId="0" applyFill="1" applyAlignment="1">
      <alignment horizontal="left" wrapText="1"/>
    </xf>
    <xf numFmtId="0" fontId="0" fillId="0" borderId="0" xfId="0" applyFill="1" applyAlignment="1">
      <alignment horizontal="left" indent="1"/>
    </xf>
    <xf numFmtId="5" fontId="0" fillId="0" borderId="0" xfId="0" applyNumberFormat="1" applyFill="1"/>
    <xf numFmtId="0" fontId="4" fillId="0" borderId="0" xfId="0" applyFont="1" applyFill="1"/>
    <xf numFmtId="7" fontId="0" fillId="0" borderId="0" xfId="0" applyNumberFormat="1" applyFill="1"/>
    <xf numFmtId="172" fontId="0" fillId="0" borderId="0" xfId="0" applyNumberFormat="1" applyFill="1"/>
    <xf numFmtId="0" fontId="0" fillId="0" borderId="2" xfId="0" applyFill="1" applyBorder="1" applyAlignment="1">
      <alignment horizontal="center" wrapText="1"/>
    </xf>
    <xf numFmtId="0" fontId="0" fillId="0" borderId="2" xfId="0" applyFill="1" applyBorder="1"/>
    <xf numFmtId="0" fontId="10" fillId="0" borderId="0" xfId="0" applyFont="1" applyFill="1" applyAlignment="1">
      <alignment horizontal="center"/>
    </xf>
    <xf numFmtId="0" fontId="18" fillId="0" borderId="0" xfId="0" applyFont="1" applyFill="1" applyAlignment="1">
      <alignment horizontal="center" vertical="center" wrapText="1"/>
    </xf>
    <xf numFmtId="164" fontId="0" fillId="0" borderId="6" xfId="0" applyNumberFormat="1" applyFill="1" applyBorder="1"/>
    <xf numFmtId="164" fontId="0" fillId="0" borderId="5" xfId="1" applyNumberFormat="1" applyFont="1" applyFill="1" applyBorder="1"/>
    <xf numFmtId="0" fontId="3" fillId="0" borderId="0" xfId="0" applyFont="1" applyFill="1" applyAlignment="1">
      <alignment horizontal="center"/>
    </xf>
    <xf numFmtId="0" fontId="3" fillId="0" borderId="0" xfId="0" applyFont="1" applyFill="1"/>
    <xf numFmtId="5" fontId="3" fillId="0" borderId="0" xfId="0" applyNumberFormat="1" applyFont="1" applyFill="1"/>
    <xf numFmtId="0" fontId="3" fillId="0" borderId="0" xfId="0" applyFont="1" applyFill="1" applyAlignment="1">
      <alignment horizontal="left"/>
    </xf>
    <xf numFmtId="5" fontId="3" fillId="0" borderId="4" xfId="0" applyNumberFormat="1" applyFont="1" applyFill="1" applyBorder="1"/>
    <xf numFmtId="0" fontId="0" fillId="0" borderId="0" xfId="0" applyFill="1" applyAlignment="1">
      <alignment horizontal="center" wrapText="1"/>
    </xf>
    <xf numFmtId="5" fontId="5" fillId="0" borderId="0" xfId="0" applyNumberFormat="1" applyFont="1" applyFill="1"/>
    <xf numFmtId="10" fontId="32" fillId="0" borderId="0" xfId="2" applyNumberFormat="1" applyFont="1" applyFill="1"/>
    <xf numFmtId="10" fontId="42" fillId="0" borderId="0" xfId="2" applyNumberFormat="1" applyFont="1" applyFill="1" applyAlignment="1">
      <alignment horizontal="center"/>
    </xf>
    <xf numFmtId="0" fontId="42" fillId="0" borderId="0" xfId="0" applyFont="1" applyFill="1"/>
    <xf numFmtId="0" fontId="34" fillId="0" borderId="0" xfId="0" applyFont="1" applyFill="1"/>
    <xf numFmtId="0" fontId="5" fillId="0" borderId="0" xfId="0" applyFont="1" applyFill="1" applyAlignment="1">
      <alignment horizontal="center" vertical="center" wrapText="1"/>
    </xf>
    <xf numFmtId="0" fontId="0" fillId="0" borderId="0" xfId="0" applyFill="1" applyAlignment="1">
      <alignment horizontal="left"/>
    </xf>
    <xf numFmtId="170" fontId="41" fillId="0" borderId="8" xfId="7" applyNumberFormat="1" applyFont="1" applyFill="1" applyBorder="1"/>
    <xf numFmtId="0" fontId="5" fillId="0" borderId="0" xfId="0" applyFont="1" applyFill="1" applyAlignment="1">
      <alignment horizontal="center" wrapText="1"/>
    </xf>
    <xf numFmtId="0" fontId="0" fillId="0" borderId="0" xfId="0" quotePrefix="1" applyFill="1"/>
    <xf numFmtId="0" fontId="0" fillId="0" borderId="3" xfId="0" applyFill="1" applyBorder="1"/>
    <xf numFmtId="0" fontId="0" fillId="0" borderId="0" xfId="0" applyFill="1" applyAlignment="1">
      <alignment horizontal="center" vertical="center" wrapText="1"/>
    </xf>
    <xf numFmtId="41" fontId="5" fillId="0" borderId="0" xfId="4" applyNumberFormat="1" applyFont="1" applyFill="1"/>
    <xf numFmtId="0" fontId="34" fillId="0" borderId="0" xfId="3" applyFont="1" applyFill="1"/>
    <xf numFmtId="41" fontId="35" fillId="0" borderId="0" xfId="3" applyNumberFormat="1" applyFont="1" applyFill="1"/>
    <xf numFmtId="41" fontId="35" fillId="0" borderId="5" xfId="4" applyNumberFormat="1" applyFont="1" applyFill="1" applyBorder="1"/>
    <xf numFmtId="0" fontId="35" fillId="0" borderId="0" xfId="3" applyFont="1" applyFill="1"/>
    <xf numFmtId="10" fontId="5" fillId="0" borderId="0" xfId="2" applyNumberFormat="1" applyFont="1" applyFill="1" applyAlignment="1">
      <alignment horizontal="center"/>
    </xf>
    <xf numFmtId="0" fontId="0" fillId="0" borderId="0" xfId="0" applyAlignment="1">
      <alignment horizontal="left" wrapText="1"/>
    </xf>
    <xf numFmtId="0" fontId="0" fillId="0" borderId="0" xfId="0" applyAlignment="1">
      <alignment horizontal="center" vertical="center" wrapText="1"/>
    </xf>
    <xf numFmtId="0" fontId="0" fillId="0" borderId="0" xfId="0" applyAlignment="1">
      <alignment horizontal="center" vertical="top" wrapText="1"/>
    </xf>
    <xf numFmtId="0" fontId="22"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xf>
    <xf numFmtId="0" fontId="0" fillId="0" borderId="0" xfId="0" applyFill="1" applyAlignment="1">
      <alignment horizontal="left" wrapText="1"/>
    </xf>
    <xf numFmtId="0" fontId="0" fillId="0" borderId="0" xfId="0" applyFill="1" applyAlignment="1">
      <alignment horizontal="left" vertical="top" wrapText="1"/>
    </xf>
    <xf numFmtId="0" fontId="0" fillId="0" borderId="0" xfId="0" applyAlignment="1">
      <alignment horizontal="left" vertical="top" wrapText="1"/>
    </xf>
    <xf numFmtId="0" fontId="12" fillId="0" borderId="0" xfId="0" applyFont="1" applyAlignment="1">
      <alignment horizontal="center" vertical="center" wrapText="1"/>
    </xf>
    <xf numFmtId="0" fontId="8" fillId="0" borderId="0" xfId="0" applyFont="1" applyAlignment="1">
      <alignment horizontal="center" wrapText="1"/>
    </xf>
    <xf numFmtId="0" fontId="5" fillId="0" borderId="0" xfId="0" applyFont="1" applyAlignment="1">
      <alignment horizontal="center" wrapText="1"/>
    </xf>
    <xf numFmtId="0" fontId="0" fillId="0" borderId="0" xfId="0" applyAlignment="1">
      <alignment horizontal="center" wrapText="1"/>
    </xf>
    <xf numFmtId="0" fontId="8" fillId="0" borderId="0" xfId="0" applyFont="1" applyAlignment="1">
      <alignment horizontal="center" vertical="center" wrapText="1"/>
    </xf>
    <xf numFmtId="0" fontId="5" fillId="0" borderId="0" xfId="0" applyFont="1" applyAlignment="1">
      <alignment horizontal="center"/>
    </xf>
    <xf numFmtId="0" fontId="29" fillId="0" borderId="0" xfId="0" applyFont="1" applyAlignment="1">
      <alignment horizontal="center" vertical="center" wrapText="1"/>
    </xf>
    <xf numFmtId="0" fontId="13" fillId="0" borderId="0" xfId="0" applyFont="1" applyAlignment="1">
      <alignment horizontal="center" vertical="center" wrapText="1"/>
    </xf>
    <xf numFmtId="0" fontId="19" fillId="0" borderId="0" xfId="0" applyFont="1" applyAlignment="1">
      <alignment horizontal="center" vertical="center" wrapText="1"/>
    </xf>
    <xf numFmtId="0" fontId="27" fillId="0" borderId="0" xfId="0" applyFont="1" applyAlignment="1">
      <alignment horizontal="center" vertical="center" wrapText="1"/>
    </xf>
    <xf numFmtId="0" fontId="23" fillId="0" borderId="0" xfId="0" applyFont="1" applyAlignment="1">
      <alignment horizontal="center" vertical="center" wrapText="1"/>
    </xf>
    <xf numFmtId="0" fontId="16" fillId="0" borderId="0" xfId="0" applyFont="1" applyAlignment="1">
      <alignment horizontal="center" vertical="center" wrapText="1"/>
    </xf>
    <xf numFmtId="0" fontId="3" fillId="0" borderId="5" xfId="0" applyFont="1" applyBorder="1" applyAlignment="1">
      <alignment horizontal="left"/>
    </xf>
    <xf numFmtId="0" fontId="0" fillId="0" borderId="0" xfId="0" applyAlignment="1">
      <alignment horizontal="left" vertical="center" wrapText="1"/>
    </xf>
    <xf numFmtId="0" fontId="8" fillId="0" borderId="9" xfId="0" applyFont="1" applyBorder="1" applyAlignment="1">
      <alignment horizontal="center" vertical="center" wrapText="1"/>
    </xf>
    <xf numFmtId="0" fontId="8" fillId="0" borderId="24" xfId="0" applyFont="1" applyBorder="1" applyAlignment="1">
      <alignment horizontal="center" vertical="center" wrapText="1"/>
    </xf>
    <xf numFmtId="0" fontId="4" fillId="0" borderId="0" xfId="0" applyFont="1" applyAlignment="1">
      <alignment horizontal="center"/>
    </xf>
    <xf numFmtId="0" fontId="0" fillId="0" borderId="0" xfId="0" applyFill="1" applyAlignment="1">
      <alignment horizontal="center" vertical="center" wrapText="1"/>
    </xf>
    <xf numFmtId="0" fontId="28" fillId="0" borderId="0" xfId="0" applyFont="1" applyAlignment="1">
      <alignment horizontal="center" wrapText="1"/>
    </xf>
  </cellXfs>
  <cellStyles count="8">
    <cellStyle name="Comma" xfId="1" builtinId="3"/>
    <cellStyle name="Comma 2" xfId="4"/>
    <cellStyle name="Currency" xfId="7" builtinId="4"/>
    <cellStyle name="Hyperlink" xfId="6" builtinId="8"/>
    <cellStyle name="Normal" xfId="0" builtinId="0"/>
    <cellStyle name="Normal 10" xfId="3"/>
    <cellStyle name="Percent" xfId="2" builtinId="5"/>
    <cellStyle name="Percent 2" xfId="5"/>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customXml" Target="../customXml/item4.xml"/></Relationships>
</file>

<file path=xl/theme/theme1.xml><?xml version="1.0" encoding="utf-8"?>
<a:theme xmlns:a="http://schemas.openxmlformats.org/drawingml/2006/main" name="Ruckert OAL">
  <a:themeElements>
    <a:clrScheme name="Ruckert OAL">
      <a:dk1>
        <a:sysClr val="windowText" lastClr="000000"/>
      </a:dk1>
      <a:lt1>
        <a:srgbClr val="FFFFFF"/>
      </a:lt1>
      <a:dk2>
        <a:srgbClr val="6ED7B5"/>
      </a:dk2>
      <a:lt2>
        <a:srgbClr val="D8DDC5"/>
      </a:lt2>
      <a:accent1>
        <a:srgbClr val="008080"/>
      </a:accent1>
      <a:accent2>
        <a:srgbClr val="FF7C80"/>
      </a:accent2>
      <a:accent3>
        <a:srgbClr val="B51A62"/>
      </a:accent3>
      <a:accent4>
        <a:srgbClr val="3D065A"/>
      </a:accent4>
      <a:accent5>
        <a:srgbClr val="714B25"/>
      </a:accent5>
      <a:accent6>
        <a:srgbClr val="003366"/>
      </a:accent6>
      <a:hlink>
        <a:srgbClr val="333399"/>
      </a:hlink>
      <a:folHlink>
        <a:srgbClr val="A5A5A5"/>
      </a:folHlink>
    </a:clrScheme>
    <a:fontScheme name="Ruckert OAL">
      <a:majorFont>
        <a:latin typeface="Times New Roman"/>
        <a:ea typeface=""/>
        <a:cs typeface=""/>
      </a:majorFont>
      <a:minorFont>
        <a:latin typeface="Times New Roman"/>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taxfoundation.org/state-corporate-income-tax-rates-brackets-2020/"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taxfoundation.org/state-corporate-income-tax-rates-brackets-2020/"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4"/>
  <sheetViews>
    <sheetView tabSelected="1" workbookViewId="0">
      <selection activeCell="C3" sqref="C3"/>
    </sheetView>
  </sheetViews>
  <sheetFormatPr defaultRowHeight="15.75" x14ac:dyDescent="0.25"/>
  <cols>
    <col min="1" max="1" width="4.625" style="1" customWidth="1"/>
    <col min="2" max="2" width="19.75" customWidth="1"/>
    <col min="3" max="3" width="43.75" customWidth="1"/>
    <col min="4" max="4" width="16.75" customWidth="1"/>
    <col min="5" max="5" width="14.75" customWidth="1"/>
  </cols>
  <sheetData>
    <row r="1" spans="1:5" x14ac:dyDescent="0.25">
      <c r="A1" s="6" t="s">
        <v>0</v>
      </c>
      <c r="D1" s="207"/>
    </row>
    <row r="2" spans="1:5" x14ac:dyDescent="0.25">
      <c r="A2" t="s">
        <v>969</v>
      </c>
      <c r="D2" s="207"/>
    </row>
    <row r="3" spans="1:5" x14ac:dyDescent="0.25">
      <c r="A3" t="s">
        <v>970</v>
      </c>
      <c r="D3" s="207"/>
    </row>
    <row r="4" spans="1:5" ht="5.25" customHeight="1" thickBot="1" x14ac:dyDescent="0.3">
      <c r="A4" s="4"/>
      <c r="B4" s="4"/>
      <c r="C4" s="4"/>
      <c r="D4" s="4"/>
      <c r="E4" s="4"/>
    </row>
    <row r="5" spans="1:5" ht="5.25" customHeight="1" thickTop="1" x14ac:dyDescent="0.25">
      <c r="A5"/>
    </row>
    <row r="6" spans="1:5" s="3" customFormat="1" ht="31.5" x14ac:dyDescent="0.25">
      <c r="A6" s="3" t="str">
        <f>ln</f>
        <v>Line No.</v>
      </c>
      <c r="B6" s="3" t="s">
        <v>971</v>
      </c>
      <c r="C6" s="3" t="s">
        <v>2</v>
      </c>
      <c r="D6" s="3" t="s">
        <v>972</v>
      </c>
      <c r="E6" s="3" t="s">
        <v>822</v>
      </c>
    </row>
    <row r="7" spans="1:5" s="1" customFormat="1" x14ac:dyDescent="0.25">
      <c r="B7" s="1" t="s">
        <v>7</v>
      </c>
      <c r="C7" s="1" t="s">
        <v>8</v>
      </c>
      <c r="D7" s="1" t="s">
        <v>9</v>
      </c>
      <c r="E7" s="1" t="s">
        <v>10</v>
      </c>
    </row>
    <row r="8" spans="1:5" ht="5.25" customHeight="1" x14ac:dyDescent="0.25">
      <c r="A8" s="5"/>
      <c r="B8" s="5"/>
      <c r="C8" s="5"/>
      <c r="D8" s="5"/>
      <c r="E8" s="5"/>
    </row>
    <row r="9" spans="1:5" ht="5.25" customHeight="1" x14ac:dyDescent="0.25">
      <c r="A9"/>
    </row>
    <row r="10" spans="1:5" s="6" customFormat="1" x14ac:dyDescent="0.25">
      <c r="A10" s="16">
        <v>1</v>
      </c>
      <c r="B10" s="6" t="s">
        <v>974</v>
      </c>
      <c r="C10" s="6" t="s">
        <v>975</v>
      </c>
      <c r="D10" s="16" t="s">
        <v>976</v>
      </c>
      <c r="E10" s="16">
        <f>IF(D10="Actual",YEAR('A1 (FF1 Inputs)'!$E$12),YEAR('A1 (FF1 Inputs)'!$E$12)+2)</f>
        <v>2020</v>
      </c>
    </row>
    <row r="11" spans="1:5" x14ac:dyDescent="0.25">
      <c r="A11" s="1">
        <f>A10+1</f>
        <v>2</v>
      </c>
      <c r="B11" t="s">
        <v>304</v>
      </c>
      <c r="C11" t="str">
        <f>'A1 (FF1 Inputs)'!A3</f>
        <v>FERC Form No. 1 Inputs</v>
      </c>
      <c r="D11" s="1" t="s">
        <v>976</v>
      </c>
      <c r="E11" s="1">
        <f>IF(D11="Actual",YEAR('A1 (FF1 Inputs)'!$E$12),YEAR('A1 (FF1 Inputs)'!$E$12)+2)</f>
        <v>2020</v>
      </c>
    </row>
    <row r="12" spans="1:5" x14ac:dyDescent="0.25">
      <c r="A12" s="1">
        <f t="shared" ref="A12:A51" si="0">A11+1</f>
        <v>3</v>
      </c>
      <c r="B12" t="s">
        <v>350</v>
      </c>
      <c r="C12" t="str">
        <f>'A2 (Divisor)'!A3</f>
        <v>Network Transmission Load (MW)</v>
      </c>
      <c r="D12" s="1" t="s">
        <v>976</v>
      </c>
      <c r="E12" s="1">
        <f>IF(D12="Actual",YEAR('A1 (FF1 Inputs)'!$E$12),YEAR('A1 (FF1 Inputs)'!$E$12)+2)</f>
        <v>2020</v>
      </c>
    </row>
    <row r="13" spans="1:5" x14ac:dyDescent="0.25">
      <c r="A13" s="1">
        <f t="shared" si="0"/>
        <v>4</v>
      </c>
      <c r="B13" t="s">
        <v>371</v>
      </c>
      <c r="C13" t="str">
        <f>'A3 (Revenue Credits)'!A3</f>
        <v>Revenue Credits</v>
      </c>
      <c r="D13" s="1" t="s">
        <v>976</v>
      </c>
      <c r="E13" s="1">
        <f>IF(D13="Actual",YEAR('A1 (FF1 Inputs)'!$E$12),YEAR('A1 (FF1 Inputs)'!$E$12)+2)</f>
        <v>2020</v>
      </c>
    </row>
    <row r="14" spans="1:5" x14ac:dyDescent="0.25">
      <c r="A14" s="209">
        <f t="shared" si="0"/>
        <v>5</v>
      </c>
      <c r="B14" s="210" t="s">
        <v>1097</v>
      </c>
      <c r="C14" s="210" t="str">
        <f>'A3-1 (Incr PV Rev Cred)'!A3</f>
        <v>Incremental Palo Verde Revenue Credits</v>
      </c>
      <c r="D14" s="209" t="s">
        <v>976</v>
      </c>
      <c r="E14" s="209">
        <f>IF(D14="Actual",YEAR('A1 (FF1 Inputs)'!$E$12),YEAR('A1 (FF1 Inputs)'!$E$12)+2)</f>
        <v>2020</v>
      </c>
    </row>
    <row r="15" spans="1:5" x14ac:dyDescent="0.25">
      <c r="A15" s="1">
        <f t="shared" si="0"/>
        <v>6</v>
      </c>
      <c r="B15" t="s">
        <v>375</v>
      </c>
      <c r="C15" t="str">
        <f>'A4 (Plant)'!A3</f>
        <v>Plant in Service and Accumulated Depreciation</v>
      </c>
      <c r="D15" s="1" t="s">
        <v>976</v>
      </c>
      <c r="E15" s="1">
        <f>IF(D15="Actual",YEAR('A1 (FF1 Inputs)'!$E$12),YEAR('A1 (FF1 Inputs)'!$E$12)+2)</f>
        <v>2020</v>
      </c>
    </row>
    <row r="16" spans="1:5" x14ac:dyDescent="0.25">
      <c r="A16" s="1">
        <f t="shared" si="0"/>
        <v>7</v>
      </c>
      <c r="B16" t="s">
        <v>422</v>
      </c>
      <c r="C16" t="str">
        <f>'A5 (Excluded Trans Plant)'!A3</f>
        <v>Excluded Transmission Plant</v>
      </c>
      <c r="D16" s="1" t="s">
        <v>976</v>
      </c>
      <c r="E16" s="1">
        <f>IF(D16="Actual",YEAR('A1 (FF1 Inputs)'!$E$12),YEAR('A1 (FF1 Inputs)'!$E$12)+2)</f>
        <v>2020</v>
      </c>
    </row>
    <row r="17" spans="1:5" x14ac:dyDescent="0.25">
      <c r="A17" s="1">
        <f t="shared" si="0"/>
        <v>8</v>
      </c>
      <c r="B17" t="s">
        <v>433</v>
      </c>
      <c r="C17" t="str">
        <f>'A6 (CWIP)'!A3</f>
        <v>Construction Work in Progress (CWIP)</v>
      </c>
      <c r="D17" s="1" t="s">
        <v>976</v>
      </c>
      <c r="E17" s="1">
        <f>IF(D17="Actual",YEAR('A1 (FF1 Inputs)'!$E$12),YEAR('A1 (FF1 Inputs)'!$E$12)+2)</f>
        <v>2020</v>
      </c>
    </row>
    <row r="18" spans="1:5" x14ac:dyDescent="0.25">
      <c r="A18" s="1">
        <f t="shared" si="0"/>
        <v>9</v>
      </c>
      <c r="B18" t="s">
        <v>434</v>
      </c>
      <c r="C18" t="str">
        <f>'A7 (DIT Averages)'!A3</f>
        <v>Deferred Income Tax (DIT) Averages</v>
      </c>
      <c r="D18" s="1" t="s">
        <v>976</v>
      </c>
      <c r="E18" s="1">
        <f>IF(D18="Actual",YEAR('A1 (FF1 Inputs)'!$E$12),YEAR('A1 (FF1 Inputs)'!$E$12)+2)</f>
        <v>2020</v>
      </c>
    </row>
    <row r="19" spans="1:5" x14ac:dyDescent="0.25">
      <c r="A19" s="1">
        <f t="shared" si="0"/>
        <v>10</v>
      </c>
      <c r="B19" t="s">
        <v>438</v>
      </c>
      <c r="C19" t="str">
        <f>'A8 (ADIT Balances)'!A3</f>
        <v>Accumulated Deferred Income Taxes (ADIT) Balances</v>
      </c>
      <c r="D19" s="1" t="s">
        <v>976</v>
      </c>
      <c r="E19" s="1">
        <f>IF(D19="Actual",YEAR('A1 (FF1 Inputs)'!$E$12),YEAR('A1 (FF1 Inputs)'!$E$12)+2)</f>
        <v>2020</v>
      </c>
    </row>
    <row r="20" spans="1:5" x14ac:dyDescent="0.25">
      <c r="A20" s="1">
        <f t="shared" si="0"/>
        <v>11</v>
      </c>
      <c r="B20" t="s">
        <v>449</v>
      </c>
      <c r="C20" t="str">
        <f>'A9 (Excess and Deficient DIT)'!A3</f>
        <v>Excess and Deficient Deferred Income Taxes</v>
      </c>
      <c r="D20" s="1" t="s">
        <v>976</v>
      </c>
      <c r="E20" s="1">
        <f>IF(D20="Actual",YEAR('A1 (FF1 Inputs)'!$E$12),YEAR('A1 (FF1 Inputs)'!$E$12)+2)</f>
        <v>2020</v>
      </c>
    </row>
    <row r="21" spans="1:5" x14ac:dyDescent="0.25">
      <c r="A21" s="1">
        <f t="shared" si="0"/>
        <v>12</v>
      </c>
      <c r="B21" t="s">
        <v>279</v>
      </c>
      <c r="C21" t="str">
        <f>'A10 (Reg Assets Liabilities)'!A3</f>
        <v>Regulatory Assets and Liabilities</v>
      </c>
      <c r="D21" s="1" t="s">
        <v>976</v>
      </c>
      <c r="E21" s="1">
        <f>IF(D21="Actual",YEAR('A1 (FF1 Inputs)'!$E$12),YEAR('A1 (FF1 Inputs)'!$E$12)+2)</f>
        <v>2020</v>
      </c>
    </row>
    <row r="22" spans="1:5" x14ac:dyDescent="0.25">
      <c r="A22" s="1">
        <f t="shared" si="0"/>
        <v>13</v>
      </c>
      <c r="B22" t="s">
        <v>326</v>
      </c>
      <c r="C22" t="str">
        <f>'A11 (Abandoned Plant)'!A3</f>
        <v>Abandoned Plant</v>
      </c>
      <c r="D22" s="1" t="s">
        <v>976</v>
      </c>
      <c r="E22" s="1">
        <f>IF(D22="Actual",YEAR('A1 (FF1 Inputs)'!$E$12),YEAR('A1 (FF1 Inputs)'!$E$12)+2)</f>
        <v>2020</v>
      </c>
    </row>
    <row r="23" spans="1:5" x14ac:dyDescent="0.25">
      <c r="A23" s="1">
        <f t="shared" si="0"/>
        <v>14</v>
      </c>
      <c r="B23" t="s">
        <v>526</v>
      </c>
      <c r="C23" t="str">
        <f>'A12 (Unfunded Reserves)'!A3</f>
        <v>Unfunded Reserves</v>
      </c>
      <c r="D23" s="1" t="s">
        <v>976</v>
      </c>
      <c r="E23" s="1">
        <f>IF(D23="Actual",YEAR('A1 (FF1 Inputs)'!$E$12),YEAR('A1 (FF1 Inputs)'!$E$12)+2)</f>
        <v>2020</v>
      </c>
    </row>
    <row r="24" spans="1:5" x14ac:dyDescent="0.25">
      <c r="A24" s="1">
        <f t="shared" si="0"/>
        <v>15</v>
      </c>
      <c r="B24" t="s">
        <v>571</v>
      </c>
      <c r="C24" t="str">
        <f>'A13 (Hold Harmless Adjustment)'!A3</f>
        <v>Hold Harmless Adjustments</v>
      </c>
      <c r="D24" s="1" t="s">
        <v>976</v>
      </c>
      <c r="E24" s="1">
        <f>IF(D24="Actual",YEAR('A1 (FF1 Inputs)'!$E$12),YEAR('A1 (FF1 Inputs)'!$E$12)+2)</f>
        <v>2020</v>
      </c>
    </row>
    <row r="25" spans="1:5" x14ac:dyDescent="0.25">
      <c r="A25" s="1">
        <f t="shared" si="0"/>
        <v>16</v>
      </c>
      <c r="B25" t="s">
        <v>584</v>
      </c>
      <c r="C25" t="str">
        <f>'A14 (Land Held for Future Use)'!A3</f>
        <v>Land and Land Rights Held for Future Use</v>
      </c>
      <c r="D25" s="1" t="s">
        <v>976</v>
      </c>
      <c r="E25" s="1">
        <f>IF(D25="Actual",YEAR('A1 (FF1 Inputs)'!$E$12),YEAR('A1 (FF1 Inputs)'!$E$12)+2)</f>
        <v>2020</v>
      </c>
    </row>
    <row r="26" spans="1:5" x14ac:dyDescent="0.25">
      <c r="A26" s="1">
        <f t="shared" si="0"/>
        <v>17</v>
      </c>
      <c r="B26" t="s">
        <v>602</v>
      </c>
      <c r="C26" t="str">
        <f>'A15 (Working Capital)'!A3</f>
        <v>Working Capital</v>
      </c>
      <c r="D26" s="1" t="s">
        <v>976</v>
      </c>
      <c r="E26" s="1">
        <f>IF(D26="Actual",YEAR('A1 (FF1 Inputs)'!$E$12),YEAR('A1 (FF1 Inputs)'!$E$12)+2)</f>
        <v>2020</v>
      </c>
    </row>
    <row r="27" spans="1:5" x14ac:dyDescent="0.25">
      <c r="A27" s="1">
        <f t="shared" si="0"/>
        <v>18</v>
      </c>
      <c r="B27" t="s">
        <v>611</v>
      </c>
      <c r="C27" t="str">
        <f>'A16 (Operating Expenses)'!A3</f>
        <v>Operating Expense Adjustments</v>
      </c>
      <c r="D27" s="1" t="s">
        <v>976</v>
      </c>
      <c r="E27" s="1">
        <f>IF(D27="Actual",YEAR('A1 (FF1 Inputs)'!$E$12),YEAR('A1 (FF1 Inputs)'!$E$12)+2)</f>
        <v>2020</v>
      </c>
    </row>
    <row r="28" spans="1:5" x14ac:dyDescent="0.25">
      <c r="A28" s="1">
        <f t="shared" si="0"/>
        <v>19</v>
      </c>
      <c r="B28" t="s">
        <v>617</v>
      </c>
      <c r="C28" t="str">
        <f>'A17 (Taxes Other)'!A3</f>
        <v>Taxes Other than Income Taxes</v>
      </c>
      <c r="D28" s="1" t="s">
        <v>976</v>
      </c>
      <c r="E28" s="1">
        <f>IF(D28="Actual",YEAR('A1 (FF1 Inputs)'!$E$12),YEAR('A1 (FF1 Inputs)'!$E$12)+2)</f>
        <v>2020</v>
      </c>
    </row>
    <row r="29" spans="1:5" x14ac:dyDescent="0.25">
      <c r="A29" s="1">
        <f t="shared" si="0"/>
        <v>20</v>
      </c>
      <c r="B29" t="s">
        <v>627</v>
      </c>
      <c r="C29" t="str">
        <f>'A18 (Cost of Capital)'!A3</f>
        <v>Cost of Capital</v>
      </c>
      <c r="D29" s="1" t="s">
        <v>976</v>
      </c>
      <c r="E29" s="1">
        <f>IF(D29="Actual",YEAR('A1 (FF1 Inputs)'!$E$12),YEAR('A1 (FF1 Inputs)'!$E$12)+2)</f>
        <v>2020</v>
      </c>
    </row>
    <row r="30" spans="1:5" x14ac:dyDescent="0.25">
      <c r="A30" s="1">
        <f t="shared" si="0"/>
        <v>21</v>
      </c>
      <c r="B30" t="s">
        <v>628</v>
      </c>
      <c r="C30" t="str">
        <f>'A19 (Income Tax Rates)'!A3</f>
        <v>Corporate Income Tax Rates</v>
      </c>
      <c r="D30" s="1" t="s">
        <v>976</v>
      </c>
      <c r="E30" s="1">
        <f>IF(D30="Actual",YEAR('A1 (FF1 Inputs)'!$E$12),YEAR('A1 (FF1 Inputs)'!$E$12)+2)</f>
        <v>2020</v>
      </c>
    </row>
    <row r="31" spans="1:5" x14ac:dyDescent="0.25">
      <c r="A31" s="1">
        <f t="shared" si="0"/>
        <v>22</v>
      </c>
      <c r="B31" t="s">
        <v>704</v>
      </c>
      <c r="C31" t="str">
        <f>'A20 (Permanent Differences)'!A3</f>
        <v>Permanent Book-Tax Differences</v>
      </c>
      <c r="D31" s="1" t="s">
        <v>976</v>
      </c>
      <c r="E31" s="1">
        <f>IF(D31="Actual",YEAR('A1 (FF1 Inputs)'!$E$12),YEAR('A1 (FF1 Inputs)'!$E$12)+2)</f>
        <v>2020</v>
      </c>
    </row>
    <row r="32" spans="1:5" x14ac:dyDescent="0.25">
      <c r="A32" s="1">
        <f t="shared" si="0"/>
        <v>23</v>
      </c>
      <c r="B32" t="s">
        <v>734</v>
      </c>
      <c r="C32" t="str">
        <f>'A21 (Incentive Plant)'!A3</f>
        <v>Incentive Plant Return and Taxes</v>
      </c>
      <c r="D32" s="1" t="s">
        <v>976</v>
      </c>
      <c r="E32" s="1">
        <f>IF(D32="Actual",YEAR('A1 (FF1 Inputs)'!$E$12),YEAR('A1 (FF1 Inputs)'!$E$12)+2)</f>
        <v>2020</v>
      </c>
    </row>
    <row r="33" spans="1:6" x14ac:dyDescent="0.25">
      <c r="A33" s="1">
        <f t="shared" si="0"/>
        <v>24</v>
      </c>
      <c r="B33" t="s">
        <v>802</v>
      </c>
      <c r="C33" t="str">
        <f>'A22 (Allocation Factors)'!A3</f>
        <v>Allocation Factors</v>
      </c>
      <c r="D33" s="1" t="s">
        <v>976</v>
      </c>
      <c r="E33" s="1">
        <f>IF(D33="Actual",YEAR('A1 (FF1 Inputs)'!$E$12),YEAR('A1 (FF1 Inputs)'!$E$12)+2)</f>
        <v>2020</v>
      </c>
    </row>
    <row r="34" spans="1:6" s="6" customFormat="1" x14ac:dyDescent="0.25">
      <c r="A34" s="1">
        <f t="shared" si="0"/>
        <v>25</v>
      </c>
      <c r="B34" s="6" t="s">
        <v>1059</v>
      </c>
      <c r="C34" s="6" t="str">
        <f>+'Actual Schedule 1'!A3</f>
        <v>Schedule 1 - Load Dispatch Revenue Requirement</v>
      </c>
      <c r="D34" s="16" t="s">
        <v>976</v>
      </c>
      <c r="E34" s="16">
        <f>IF(D34="Actual",YEAR('A1 (FF1 Inputs)'!$E$12),YEAR('A1 (FF1 Inputs)'!$E$12)+2)</f>
        <v>2020</v>
      </c>
    </row>
    <row r="35" spans="1:6" x14ac:dyDescent="0.25">
      <c r="A35" s="1">
        <f t="shared" si="0"/>
        <v>26</v>
      </c>
      <c r="B35" s="6" t="s">
        <v>974</v>
      </c>
      <c r="C35" s="6" t="s">
        <v>975</v>
      </c>
      <c r="D35" s="16" t="s">
        <v>977</v>
      </c>
      <c r="E35" s="16">
        <f>IF(D35="Actual",YEAR('A1 (FF1 Inputs)'!$E$12),YEAR('A1 (FF1 Inputs)'!$E$12)+2)</f>
        <v>2022</v>
      </c>
      <c r="F35" s="6"/>
    </row>
    <row r="36" spans="1:6" s="6" customFormat="1" x14ac:dyDescent="0.25">
      <c r="A36" s="1">
        <f t="shared" si="0"/>
        <v>27</v>
      </c>
      <c r="B36" t="s">
        <v>874</v>
      </c>
      <c r="C36" t="str">
        <f>'P1 (Divisor)'!A3</f>
        <v>Network Transmission Load (MW)</v>
      </c>
      <c r="D36" s="1" t="s">
        <v>977</v>
      </c>
      <c r="E36" s="1">
        <f>IF(D36="Actual",YEAR('A1 (FF1 Inputs)'!$E$12),YEAR('A1 (FF1 Inputs)'!$E$12)+2)</f>
        <v>2022</v>
      </c>
      <c r="F36"/>
    </row>
    <row r="37" spans="1:6" x14ac:dyDescent="0.25">
      <c r="A37" s="1">
        <f t="shared" si="0"/>
        <v>28</v>
      </c>
      <c r="B37" t="s">
        <v>873</v>
      </c>
      <c r="C37" t="str">
        <f>'P2 (Trans Plant)'!A3</f>
        <v>Projected Transmission Plant Activity</v>
      </c>
      <c r="D37" s="1" t="s">
        <v>977</v>
      </c>
      <c r="E37" s="1">
        <f>IF(D37="Actual",YEAR('A1 (FF1 Inputs)'!$E$12),YEAR('A1 (FF1 Inputs)'!$E$12)+2)</f>
        <v>2022</v>
      </c>
    </row>
    <row r="38" spans="1:6" x14ac:dyDescent="0.25">
      <c r="A38" s="1">
        <f t="shared" si="0"/>
        <v>29</v>
      </c>
      <c r="B38" t="s">
        <v>906</v>
      </c>
      <c r="C38" t="str">
        <f>'P3 (CWIP)'!A3</f>
        <v>Construction Work in Progress (CWIP)</v>
      </c>
      <c r="D38" s="1" t="s">
        <v>977</v>
      </c>
      <c r="E38" s="1">
        <f>IF(D38="Actual",YEAR('A1 (FF1 Inputs)'!$E$12),YEAR('A1 (FF1 Inputs)'!$E$12)+2)</f>
        <v>2022</v>
      </c>
    </row>
    <row r="39" spans="1:6" x14ac:dyDescent="0.25">
      <c r="A39" s="1">
        <f t="shared" si="0"/>
        <v>30</v>
      </c>
      <c r="B39" t="s">
        <v>915</v>
      </c>
      <c r="C39" t="str">
        <f>'P4 (DIT Averages)'!A3</f>
        <v>Deferred Income Tax (DIT) Averages</v>
      </c>
      <c r="D39" s="1" t="s">
        <v>977</v>
      </c>
      <c r="E39" s="1">
        <f>IF(D39="Actual",YEAR('A1 (FF1 Inputs)'!$E$12),YEAR('A1 (FF1 Inputs)'!$E$12)+2)</f>
        <v>2022</v>
      </c>
    </row>
    <row r="40" spans="1:6" x14ac:dyDescent="0.25">
      <c r="A40" s="1">
        <f t="shared" si="0"/>
        <v>31</v>
      </c>
      <c r="B40" t="s">
        <v>907</v>
      </c>
      <c r="C40" t="str">
        <f>'P5 (ADIT Balances)'!A3</f>
        <v>Accumulated Deferred Income Taxes (ADIT) Balances</v>
      </c>
      <c r="D40" s="1" t="s">
        <v>977</v>
      </c>
      <c r="E40" s="1">
        <f>IF(D40="Actual",YEAR('A1 (FF1 Inputs)'!$E$12),YEAR('A1 (FF1 Inputs)'!$E$12)+2)</f>
        <v>2022</v>
      </c>
    </row>
    <row r="41" spans="1:6" x14ac:dyDescent="0.25">
      <c r="A41" s="1">
        <f t="shared" si="0"/>
        <v>32</v>
      </c>
      <c r="B41" t="s">
        <v>911</v>
      </c>
      <c r="C41" t="str">
        <f>'P6 (Excess and Deficient DIT)'!A3</f>
        <v>Excess and Deficient Deferred Income Taxes</v>
      </c>
      <c r="D41" s="1" t="s">
        <v>977</v>
      </c>
      <c r="E41" s="1">
        <f>IF(D41="Actual",YEAR('A1 (FF1 Inputs)'!$E$12),YEAR('A1 (FF1 Inputs)'!$E$12)+2)</f>
        <v>2022</v>
      </c>
    </row>
    <row r="42" spans="1:6" x14ac:dyDescent="0.25">
      <c r="A42" s="1">
        <f t="shared" si="0"/>
        <v>33</v>
      </c>
      <c r="B42" t="s">
        <v>922</v>
      </c>
      <c r="C42" t="str">
        <f>'P7 (Reg Assets Liabilities)'!A3</f>
        <v>Regulatory Assets and Liabilities</v>
      </c>
      <c r="D42" s="1" t="s">
        <v>977</v>
      </c>
      <c r="E42" s="1">
        <f>IF(D42="Actual",YEAR('A1 (FF1 Inputs)'!$E$12),YEAR('A1 (FF1 Inputs)'!$E$12)+2)</f>
        <v>2022</v>
      </c>
    </row>
    <row r="43" spans="1:6" x14ac:dyDescent="0.25">
      <c r="A43" s="1">
        <f t="shared" si="0"/>
        <v>34</v>
      </c>
      <c r="B43" t="s">
        <v>925</v>
      </c>
      <c r="C43" t="str">
        <f>'P8 (Abandoned Plant)'!A3</f>
        <v>Abandoned Plant</v>
      </c>
      <c r="D43" s="1" t="s">
        <v>977</v>
      </c>
      <c r="E43" s="1">
        <f>IF(D43="Actual",YEAR('A1 (FF1 Inputs)'!$E$12),YEAR('A1 (FF1 Inputs)'!$E$12)+2)</f>
        <v>2022</v>
      </c>
    </row>
    <row r="44" spans="1:6" x14ac:dyDescent="0.25">
      <c r="A44" s="1">
        <f t="shared" si="0"/>
        <v>35</v>
      </c>
      <c r="B44" t="s">
        <v>947</v>
      </c>
      <c r="C44" t="str">
        <f>'P9 (Expenses)'!A3</f>
        <v>Projected Expenses</v>
      </c>
      <c r="D44" s="1" t="s">
        <v>977</v>
      </c>
      <c r="E44" s="1">
        <f>IF(D44="Actual",YEAR('A1 (FF1 Inputs)'!$E$12),YEAR('A1 (FF1 Inputs)'!$E$12)+2)</f>
        <v>2022</v>
      </c>
    </row>
    <row r="45" spans="1:6" x14ac:dyDescent="0.25">
      <c r="A45" s="1">
        <f t="shared" si="0"/>
        <v>36</v>
      </c>
      <c r="B45" t="s">
        <v>944</v>
      </c>
      <c r="C45" t="str">
        <f>'P10 (Income Tax Rates)'!A3</f>
        <v>Corporate Income Tax Rates</v>
      </c>
      <c r="D45" s="1" t="s">
        <v>977</v>
      </c>
      <c r="E45" s="1">
        <f>IF(D45="Actual",YEAR('A1 (FF1 Inputs)'!$E$12),YEAR('A1 (FF1 Inputs)'!$E$12)+2)</f>
        <v>2022</v>
      </c>
    </row>
    <row r="46" spans="1:6" x14ac:dyDescent="0.25">
      <c r="A46" s="1">
        <f t="shared" si="0"/>
        <v>37</v>
      </c>
      <c r="B46" t="s">
        <v>924</v>
      </c>
      <c r="C46" t="str">
        <f>'P11 (Incentive Plant)'!A3</f>
        <v>Incentive Plant Return and Taxes</v>
      </c>
      <c r="D46" s="1" t="s">
        <v>977</v>
      </c>
      <c r="E46" s="1">
        <f>IF(D46="Actual",YEAR('A1 (FF1 Inputs)'!$E$12),YEAR('A1 (FF1 Inputs)'!$E$12)+2)</f>
        <v>2022</v>
      </c>
    </row>
    <row r="47" spans="1:6" x14ac:dyDescent="0.25">
      <c r="A47" s="1">
        <f t="shared" si="0"/>
        <v>38</v>
      </c>
      <c r="B47" t="s">
        <v>926</v>
      </c>
      <c r="C47" t="str">
        <f>'P12 (Allocation Factors)'!A3</f>
        <v>Allocation Factors</v>
      </c>
      <c r="D47" s="1" t="s">
        <v>977</v>
      </c>
      <c r="E47" s="1">
        <f>IF(D47="Actual",YEAR('A1 (FF1 Inputs)'!$E$12),YEAR('A1 (FF1 Inputs)'!$E$12)+2)</f>
        <v>2022</v>
      </c>
    </row>
    <row r="48" spans="1:6" x14ac:dyDescent="0.25">
      <c r="A48" s="1">
        <f t="shared" si="0"/>
        <v>39</v>
      </c>
      <c r="B48" t="s">
        <v>923</v>
      </c>
      <c r="C48" t="str">
        <f>'P13 (Depreciation Rates)'!A3</f>
        <v>Depreciation and Amortization Rates</v>
      </c>
      <c r="D48" s="1" t="s">
        <v>977</v>
      </c>
      <c r="E48" s="1">
        <f>IF(D48="Actual",YEAR('A1 (FF1 Inputs)'!$E$12),YEAR('A1 (FF1 Inputs)'!$E$12)+2)</f>
        <v>2022</v>
      </c>
    </row>
    <row r="49" spans="1:5" x14ac:dyDescent="0.25">
      <c r="A49" s="1">
        <f t="shared" si="0"/>
        <v>40</v>
      </c>
      <c r="B49" t="s">
        <v>973</v>
      </c>
      <c r="C49" t="s">
        <v>1015</v>
      </c>
      <c r="D49" s="1" t="s">
        <v>977</v>
      </c>
      <c r="E49" s="1">
        <f>IF(D49="Actual",YEAR('A1 (FF1 Inputs)'!$E$12),YEAR('A1 (FF1 Inputs)'!$E$12)+2)</f>
        <v>2022</v>
      </c>
    </row>
    <row r="50" spans="1:5" x14ac:dyDescent="0.25">
      <c r="A50" s="1">
        <f t="shared" si="0"/>
        <v>41</v>
      </c>
      <c r="B50" t="s">
        <v>1058</v>
      </c>
      <c r="C50" t="str">
        <f>+'P15 (True-Up Adjustment)'!A3</f>
        <v>True-Up Adjustment</v>
      </c>
      <c r="D50" s="1" t="s">
        <v>977</v>
      </c>
      <c r="E50" s="1">
        <f>IF(D50="Actual",YEAR('A1 (FF1 Inputs)'!$E$12),YEAR('A1 (FF1 Inputs)'!$E$12)+2)</f>
        <v>2022</v>
      </c>
    </row>
    <row r="51" spans="1:5" s="6" customFormat="1" x14ac:dyDescent="0.25">
      <c r="A51" s="1">
        <f t="shared" si="0"/>
        <v>42</v>
      </c>
      <c r="B51" s="6" t="s">
        <v>1059</v>
      </c>
      <c r="C51" s="6" t="str">
        <f>+'Projected Sch 1'!A3</f>
        <v xml:space="preserve">Schedule 1 - Load Dispatch Revenue Requirement </v>
      </c>
      <c r="D51" s="16" t="s">
        <v>977</v>
      </c>
      <c r="E51" s="16">
        <f>IF(D51="Actual",YEAR('A1 (FF1 Inputs)'!$E$12),YEAR('A1 (FF1 Inputs)'!$E$12)+2)</f>
        <v>2022</v>
      </c>
    </row>
    <row r="52" spans="1:5" ht="6.75" customHeight="1" thickBot="1" x14ac:dyDescent="0.3">
      <c r="A52" s="24"/>
      <c r="B52" s="4"/>
      <c r="C52" s="4"/>
      <c r="D52" s="4"/>
      <c r="E52" s="4"/>
    </row>
    <row r="53" spans="1:5" ht="5.25" customHeight="1" thickTop="1" x14ac:dyDescent="0.25"/>
    <row r="54" spans="1:5" ht="5.25" customHeight="1" x14ac:dyDescent="0.25"/>
  </sheetData>
  <phoneticPr fontId="7" type="noConversion"/>
  <pageMargins left="0.7" right="0.7" top="0.75" bottom="0.75" header="0.3" footer="0.3"/>
  <pageSetup scale="85" orientation="portrait" horizontalDpi="1200" verticalDpi="1200" r:id="rId1"/>
  <headerFooter>
    <oddFooter>&amp;L&amp;6{W0327924.2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S152"/>
  <sheetViews>
    <sheetView workbookViewId="0"/>
  </sheetViews>
  <sheetFormatPr defaultRowHeight="15.75" x14ac:dyDescent="0.25"/>
  <cols>
    <col min="1" max="1" width="4.25" style="1" customWidth="1"/>
    <col min="2" max="2" width="37.125" customWidth="1"/>
    <col min="3" max="3" width="9.75" style="1" customWidth="1"/>
    <col min="4" max="4" width="7" customWidth="1"/>
    <col min="6" max="6" width="10.25" customWidth="1"/>
    <col min="8" max="9" width="0.75" customWidth="1"/>
    <col min="10" max="10" width="13.75" customWidth="1"/>
    <col min="11" max="12" width="0.75" customWidth="1"/>
    <col min="13" max="14" width="13.75" customWidth="1"/>
    <col min="15" max="15" width="15.75" customWidth="1"/>
    <col min="16" max="16" width="13.75" customWidth="1"/>
    <col min="17" max="17" width="15.25" customWidth="1"/>
    <col min="18" max="18" width="13.75" customWidth="1"/>
  </cols>
  <sheetData>
    <row r="1" spans="1:18" x14ac:dyDescent="0.25">
      <c r="A1" s="6" t="str">
        <f>epe</f>
        <v>El Paso Electric Company</v>
      </c>
      <c r="R1" s="8" t="s">
        <v>434</v>
      </c>
    </row>
    <row r="2" spans="1:18" x14ac:dyDescent="0.25">
      <c r="A2" t="str">
        <f>frta</f>
        <v>Formula Rate Template (Actuals)</v>
      </c>
    </row>
    <row r="3" spans="1:18" x14ac:dyDescent="0.25">
      <c r="A3" t="s">
        <v>914</v>
      </c>
    </row>
    <row r="4" spans="1:18" x14ac:dyDescent="0.25">
      <c r="A4" t="str">
        <f>"12 Months Ended December 31, "&amp;YEAR('A1 (FF1 Inputs)'!$E$12)</f>
        <v>12 Months Ended December 31, 2020</v>
      </c>
    </row>
    <row r="5" spans="1:18" ht="5.25" customHeight="1" thickBot="1" x14ac:dyDescent="0.3">
      <c r="A5" s="4"/>
      <c r="B5" s="4"/>
      <c r="C5" s="4"/>
      <c r="D5" s="4"/>
      <c r="E5" s="4"/>
      <c r="F5" s="4"/>
      <c r="G5" s="4"/>
      <c r="H5" s="4"/>
      <c r="I5" s="4"/>
      <c r="J5" s="4"/>
      <c r="K5" s="4"/>
      <c r="L5" s="4"/>
      <c r="M5" s="4"/>
      <c r="N5" s="4"/>
      <c r="O5" s="4"/>
      <c r="P5" s="4"/>
      <c r="Q5" s="4"/>
      <c r="R5" s="4"/>
    </row>
    <row r="6" spans="1:18" ht="5.25" customHeight="1" thickTop="1" x14ac:dyDescent="0.25">
      <c r="A6"/>
      <c r="C6"/>
    </row>
    <row r="7" spans="1:18" s="40" customFormat="1" ht="15.75" customHeight="1" x14ac:dyDescent="0.25">
      <c r="A7" s="266" t="str">
        <f>ln</f>
        <v>Line No.</v>
      </c>
      <c r="B7" s="278" t="s">
        <v>787</v>
      </c>
      <c r="D7" s="276" t="s">
        <v>794</v>
      </c>
      <c r="E7" s="276"/>
      <c r="F7" s="276"/>
      <c r="G7" s="276"/>
      <c r="J7" s="277" t="s">
        <v>797</v>
      </c>
      <c r="K7" s="113"/>
      <c r="M7" s="276" t="s">
        <v>892</v>
      </c>
      <c r="N7" s="276"/>
      <c r="O7" s="276"/>
      <c r="P7" s="276"/>
      <c r="Q7" s="276"/>
      <c r="R7" s="276"/>
    </row>
    <row r="8" spans="1:18" s="40" customFormat="1" ht="81.75" x14ac:dyDescent="0.25">
      <c r="A8" s="266"/>
      <c r="B8" s="278"/>
      <c r="D8" s="40" t="s">
        <v>789</v>
      </c>
      <c r="E8" s="40" t="s">
        <v>790</v>
      </c>
      <c r="F8" s="40" t="s">
        <v>791</v>
      </c>
      <c r="G8" s="40" t="s">
        <v>792</v>
      </c>
      <c r="J8" s="277"/>
      <c r="M8" s="40" t="s">
        <v>798</v>
      </c>
      <c r="N8" s="40" t="s">
        <v>880</v>
      </c>
      <c r="O8" s="40" t="s">
        <v>881</v>
      </c>
      <c r="P8" s="40" t="s">
        <v>882</v>
      </c>
      <c r="Q8" s="40" t="s">
        <v>884</v>
      </c>
      <c r="R8" s="40" t="s">
        <v>883</v>
      </c>
    </row>
    <row r="9" spans="1:18" s="2" customFormat="1" x14ac:dyDescent="0.25">
      <c r="A9" s="266"/>
      <c r="B9" s="2" t="s">
        <v>7</v>
      </c>
      <c r="D9" s="2" t="s">
        <v>8</v>
      </c>
      <c r="E9" s="2" t="s">
        <v>9</v>
      </c>
      <c r="F9" s="2" t="s">
        <v>10</v>
      </c>
      <c r="G9" s="2" t="s">
        <v>795</v>
      </c>
      <c r="J9" s="2" t="s">
        <v>12</v>
      </c>
      <c r="M9" s="2" t="s">
        <v>91</v>
      </c>
      <c r="N9" s="2" t="str">
        <f>"[h] = "&amp;M9&amp;" - "&amp;J9</f>
        <v>[h] = [g] - [f]</v>
      </c>
      <c r="O9" s="131" t="s">
        <v>93</v>
      </c>
      <c r="P9" s="2" t="s">
        <v>94</v>
      </c>
      <c r="Q9" s="2" t="s">
        <v>95</v>
      </c>
      <c r="R9" s="2" t="s">
        <v>307</v>
      </c>
    </row>
    <row r="10" spans="1:18" ht="5.25" customHeight="1" x14ac:dyDescent="0.25">
      <c r="A10" s="5"/>
      <c r="B10" s="5"/>
      <c r="C10" s="5"/>
      <c r="D10" s="5"/>
      <c r="E10" s="5"/>
      <c r="F10" s="5"/>
      <c r="G10" s="5"/>
      <c r="H10" s="5"/>
      <c r="I10" s="5"/>
      <c r="J10" s="5"/>
      <c r="K10" s="5"/>
      <c r="L10" s="5"/>
      <c r="M10" s="5"/>
      <c r="N10" s="5"/>
      <c r="O10" s="5"/>
      <c r="P10" s="5"/>
      <c r="Q10" s="5"/>
      <c r="R10" s="5"/>
    </row>
    <row r="11" spans="1:18" ht="5.25" customHeight="1" x14ac:dyDescent="0.25">
      <c r="A11"/>
      <c r="C11"/>
    </row>
    <row r="12" spans="1:18" x14ac:dyDescent="0.25">
      <c r="A12" s="89" t="s">
        <v>788</v>
      </c>
      <c r="B12" s="50"/>
      <c r="C12" s="49"/>
      <c r="D12" s="50"/>
      <c r="E12" s="50"/>
      <c r="F12" s="50"/>
      <c r="G12" s="50"/>
      <c r="H12" s="50"/>
      <c r="I12" s="50"/>
      <c r="J12" s="50"/>
      <c r="K12" s="50"/>
      <c r="L12" s="50"/>
      <c r="M12" s="50"/>
      <c r="N12" s="50"/>
      <c r="O12" s="50"/>
      <c r="P12" s="50"/>
      <c r="Q12" s="50"/>
      <c r="R12" s="50"/>
    </row>
    <row r="13" spans="1:18" x14ac:dyDescent="0.25">
      <c r="A13" s="1">
        <v>1</v>
      </c>
      <c r="B13" s="112" t="str">
        <f>"Dec-"&amp;YEAR('A1 (FF1 Inputs)'!$E$12)-1&amp;" ("&amp;'A8 (ADIT Balances)'!$AF$1&amp;", Ln. "&amp;'A8 (ADIT Balances)'!A42&amp;", Col. [q])"</f>
        <v>Dec-2019 (Worksheet A8, Ln. 3, Col. [q])</v>
      </c>
      <c r="C13" s="130">
        <f>'A1 (FF1 Inputs)'!$E$12</f>
        <v>43831</v>
      </c>
      <c r="R13" s="10">
        <f>'A8 (ADIT Balances)'!R42</f>
        <v>3890364.7421886972</v>
      </c>
    </row>
    <row r="14" spans="1:18" x14ac:dyDescent="0.25">
      <c r="A14" s="1">
        <f>A13+1</f>
        <v>2</v>
      </c>
      <c r="B14" s="112" t="str">
        <f>"Jan-"&amp;YEAR('A1 (FF1 Inputs)'!$E$12)</f>
        <v>Jan-2020</v>
      </c>
      <c r="C14" s="130">
        <f>EOMONTH(C13,0)</f>
        <v>43861</v>
      </c>
      <c r="D14" s="1">
        <f>_xlfn.DAYS(C14,C13-1)</f>
        <v>31</v>
      </c>
      <c r="E14" s="1">
        <f t="shared" ref="E14:E23" si="0">D15+E15</f>
        <v>336</v>
      </c>
      <c r="F14" s="1">
        <f>SUM($D$14:$D$25)</f>
        <v>366</v>
      </c>
      <c r="G14" s="110">
        <f>E14/F14</f>
        <v>0.91803278688524592</v>
      </c>
      <c r="J14" s="37">
        <v>0</v>
      </c>
      <c r="M14" s="41">
        <f t="array" ref="M14:M25">TRANSPOSE('A8 (ADIT Balances)'!S43:AD43)</f>
        <v>40519.524075925816</v>
      </c>
      <c r="N14" s="41">
        <f>M14-J14</f>
        <v>40519.524075925816</v>
      </c>
      <c r="O14" s="41">
        <f>IF(AND(J14&gt;=0,M14&gt;=0),IF(N14&gt;=0,N14,0),IF(AND(J14&lt;0,M14&lt;0),IF(N14&lt;0,N14,0),0))</f>
        <v>40519.524075925816</v>
      </c>
      <c r="P14" s="139">
        <f>IF(AND(J14&gt;=0,M14&gt;=0),IF(O14&gt;0,0,IF(M14&lt;0,0,(-(N14)*(E14/F14)))),IF(AND(J14&lt;0,M14&lt;0),IF(O14&lt;0,0,IF(M14&gt;0,0,(-(N14)*(E14/F14)))),0))</f>
        <v>0</v>
      </c>
      <c r="Q14" s="41">
        <f>IF(AND(J14&gt;=0,M14&lt;0),M14,IF(AND(J14&lt;0,M14&gt;0),M14,0))</f>
        <v>0</v>
      </c>
      <c r="R14" s="41">
        <f>IF(J14=0,R13+M14,IF((M14*J14)&lt;0,R13+Q14,R13+J14+O14-P14))</f>
        <v>3930884.266264623</v>
      </c>
    </row>
    <row r="15" spans="1:18" x14ac:dyDescent="0.25">
      <c r="A15" s="1">
        <f t="shared" ref="A15:A26" si="1">A14+1</f>
        <v>3</v>
      </c>
      <c r="B15" s="112" t="str">
        <f>"Feb-"&amp;YEAR('A1 (FF1 Inputs)'!$E$12)</f>
        <v>Feb-2020</v>
      </c>
      <c r="C15" s="130">
        <f>EOMONTH(C13,1)</f>
        <v>43890</v>
      </c>
      <c r="D15" s="1">
        <f>_xlfn.DAYS(C15,C14)</f>
        <v>29</v>
      </c>
      <c r="E15" s="1">
        <f t="shared" si="0"/>
        <v>307</v>
      </c>
      <c r="F15" s="1">
        <f t="shared" ref="F15:F25" si="2">SUM($D$14:$D$25)</f>
        <v>366</v>
      </c>
      <c r="G15" s="110">
        <f t="shared" ref="G15:G25" si="3">E15/F15</f>
        <v>0.83879781420765032</v>
      </c>
      <c r="J15" s="37">
        <v>0</v>
      </c>
      <c r="M15" s="41">
        <v>40519.524075927213</v>
      </c>
      <c r="N15" s="41">
        <f t="shared" ref="N15:N25" si="4">M15-J15</f>
        <v>40519.524075927213</v>
      </c>
      <c r="O15" s="41">
        <f t="shared" ref="O15:O25" si="5">IF(AND(J15&gt;=0,M15&gt;=0),IF(N15&gt;=0,N15,0),IF(AND(J15&lt;0,M15&lt;0),IF(N15&lt;0,N15,0),0))</f>
        <v>40519.524075927213</v>
      </c>
      <c r="P15" s="139">
        <f t="shared" ref="P15:P25" si="6">IF(AND(J15&gt;=0,M15&gt;=0),IF(O15&gt;0,0,IF(M15&lt;0,0,(-(N15)*(E15/F15)))),IF(AND(J15&lt;0,M15&lt;0),IF(O15&lt;0,0,IF(M15&gt;0,0,(-(N15)*(E15/F15)))),0))</f>
        <v>0</v>
      </c>
      <c r="Q15" s="41">
        <f t="shared" ref="Q15:Q25" si="7">IF(AND(J15&gt;=0,M15&lt;0),M15,IF(AND(J15&lt;0,M15&gt;0),M15,0))</f>
        <v>0</v>
      </c>
      <c r="R15" s="41">
        <f t="shared" ref="R15:R24" si="8">IF(J15=0,R14+M15,IF((M15*J15)&lt;0,R14+Q15,R14+J15+O15-P15))</f>
        <v>3971403.7903405502</v>
      </c>
    </row>
    <row r="16" spans="1:18" x14ac:dyDescent="0.25">
      <c r="A16" s="1">
        <f t="shared" si="1"/>
        <v>4</v>
      </c>
      <c r="B16" s="112" t="str">
        <f>"Mar-"&amp;YEAR('A1 (FF1 Inputs)'!$E$12)</f>
        <v>Mar-2020</v>
      </c>
      <c r="C16" s="130">
        <f>EOMONTH(C13,2)</f>
        <v>43921</v>
      </c>
      <c r="D16" s="1">
        <f t="shared" ref="D16:D25" si="9">_xlfn.DAYS(C16,C15)</f>
        <v>31</v>
      </c>
      <c r="E16" s="1">
        <f t="shared" si="0"/>
        <v>276</v>
      </c>
      <c r="F16" s="1">
        <f t="shared" si="2"/>
        <v>366</v>
      </c>
      <c r="G16" s="110">
        <f t="shared" si="3"/>
        <v>0.75409836065573765</v>
      </c>
      <c r="J16" s="37">
        <v>0</v>
      </c>
      <c r="M16" s="41">
        <v>40519.524075926282</v>
      </c>
      <c r="N16" s="41">
        <f t="shared" si="4"/>
        <v>40519.524075926282</v>
      </c>
      <c r="O16" s="41">
        <f t="shared" si="5"/>
        <v>40519.524075926282</v>
      </c>
      <c r="P16" s="139">
        <f t="shared" si="6"/>
        <v>0</v>
      </c>
      <c r="Q16" s="41">
        <f t="shared" si="7"/>
        <v>0</v>
      </c>
      <c r="R16" s="41">
        <f t="shared" si="8"/>
        <v>4011923.3144164765</v>
      </c>
    </row>
    <row r="17" spans="1:18" x14ac:dyDescent="0.25">
      <c r="A17" s="1">
        <f t="shared" si="1"/>
        <v>5</v>
      </c>
      <c r="B17" s="112" t="str">
        <f>"Apr-"&amp;YEAR('A1 (FF1 Inputs)'!$E$12)</f>
        <v>Apr-2020</v>
      </c>
      <c r="C17" s="130">
        <f>EOMONTH(C13,3)</f>
        <v>43951</v>
      </c>
      <c r="D17" s="1">
        <f t="shared" si="9"/>
        <v>30</v>
      </c>
      <c r="E17" s="1">
        <f t="shared" si="0"/>
        <v>246</v>
      </c>
      <c r="F17" s="1">
        <f t="shared" si="2"/>
        <v>366</v>
      </c>
      <c r="G17" s="110">
        <f t="shared" si="3"/>
        <v>0.67213114754098358</v>
      </c>
      <c r="J17" s="37">
        <v>0</v>
      </c>
      <c r="M17" s="41">
        <v>40519.524075926747</v>
      </c>
      <c r="N17" s="41">
        <f t="shared" si="4"/>
        <v>40519.524075926747</v>
      </c>
      <c r="O17" s="41">
        <f t="shared" si="5"/>
        <v>40519.524075926747</v>
      </c>
      <c r="P17" s="139">
        <f t="shared" si="6"/>
        <v>0</v>
      </c>
      <c r="Q17" s="41">
        <f t="shared" si="7"/>
        <v>0</v>
      </c>
      <c r="R17" s="41">
        <f t="shared" si="8"/>
        <v>4052442.8384924033</v>
      </c>
    </row>
    <row r="18" spans="1:18" x14ac:dyDescent="0.25">
      <c r="A18" s="1">
        <f t="shared" si="1"/>
        <v>6</v>
      </c>
      <c r="B18" s="112" t="str">
        <f>"May-"&amp;YEAR('A1 (FF1 Inputs)'!$E$12)</f>
        <v>May-2020</v>
      </c>
      <c r="C18" s="130">
        <f>EOMONTH(C13,4)</f>
        <v>43982</v>
      </c>
      <c r="D18" s="1">
        <f t="shared" si="9"/>
        <v>31</v>
      </c>
      <c r="E18" s="1">
        <f t="shared" si="0"/>
        <v>215</v>
      </c>
      <c r="F18" s="1">
        <f t="shared" si="2"/>
        <v>366</v>
      </c>
      <c r="G18" s="110">
        <f t="shared" si="3"/>
        <v>0.58743169398907102</v>
      </c>
      <c r="J18" s="37">
        <v>0</v>
      </c>
      <c r="M18" s="41">
        <v>40519.524075926282</v>
      </c>
      <c r="N18" s="41">
        <f t="shared" si="4"/>
        <v>40519.524075926282</v>
      </c>
      <c r="O18" s="41">
        <f t="shared" si="5"/>
        <v>40519.524075926282</v>
      </c>
      <c r="P18" s="139">
        <f t="shared" si="6"/>
        <v>0</v>
      </c>
      <c r="Q18" s="41">
        <f t="shared" si="7"/>
        <v>0</v>
      </c>
      <c r="R18" s="41">
        <f t="shared" si="8"/>
        <v>4092962.3625683296</v>
      </c>
    </row>
    <row r="19" spans="1:18" x14ac:dyDescent="0.25">
      <c r="A19" s="1">
        <f t="shared" si="1"/>
        <v>7</v>
      </c>
      <c r="B19" s="112" t="str">
        <f>"Jun-"&amp;YEAR('A1 (FF1 Inputs)'!$E$12)</f>
        <v>Jun-2020</v>
      </c>
      <c r="C19" s="130">
        <f>EOMONTH(C13,5)</f>
        <v>44012</v>
      </c>
      <c r="D19" s="1">
        <f t="shared" si="9"/>
        <v>30</v>
      </c>
      <c r="E19" s="1">
        <f t="shared" si="0"/>
        <v>185</v>
      </c>
      <c r="F19" s="1">
        <f t="shared" si="2"/>
        <v>366</v>
      </c>
      <c r="G19" s="110">
        <f t="shared" si="3"/>
        <v>0.50546448087431695</v>
      </c>
      <c r="J19" s="37">
        <v>0</v>
      </c>
      <c r="M19" s="41">
        <v>40519.524075925816</v>
      </c>
      <c r="N19" s="41">
        <f t="shared" si="4"/>
        <v>40519.524075925816</v>
      </c>
      <c r="O19" s="41">
        <f t="shared" si="5"/>
        <v>40519.524075925816</v>
      </c>
      <c r="P19" s="139">
        <f t="shared" si="6"/>
        <v>0</v>
      </c>
      <c r="Q19" s="41">
        <f t="shared" si="7"/>
        <v>0</v>
      </c>
      <c r="R19" s="41">
        <f t="shared" si="8"/>
        <v>4133481.8866442554</v>
      </c>
    </row>
    <row r="20" spans="1:18" x14ac:dyDescent="0.25">
      <c r="A20" s="1">
        <f t="shared" si="1"/>
        <v>8</v>
      </c>
      <c r="B20" s="112" t="str">
        <f>"Jul-"&amp;YEAR('A1 (FF1 Inputs)'!$E$12)</f>
        <v>Jul-2020</v>
      </c>
      <c r="C20" s="130">
        <f>EOMONTH(C13,6)</f>
        <v>44043</v>
      </c>
      <c r="D20" s="1">
        <f t="shared" si="9"/>
        <v>31</v>
      </c>
      <c r="E20" s="1">
        <f t="shared" si="0"/>
        <v>154</v>
      </c>
      <c r="F20" s="1">
        <f t="shared" si="2"/>
        <v>366</v>
      </c>
      <c r="G20" s="110">
        <f t="shared" si="3"/>
        <v>0.42076502732240439</v>
      </c>
      <c r="J20" s="37">
        <v>0</v>
      </c>
      <c r="M20" s="41">
        <v>40519.524075925816</v>
      </c>
      <c r="N20" s="41">
        <f t="shared" si="4"/>
        <v>40519.524075925816</v>
      </c>
      <c r="O20" s="41">
        <f t="shared" si="5"/>
        <v>40519.524075925816</v>
      </c>
      <c r="P20" s="139">
        <f t="shared" si="6"/>
        <v>0</v>
      </c>
      <c r="Q20" s="41">
        <f t="shared" si="7"/>
        <v>0</v>
      </c>
      <c r="R20" s="41">
        <f t="shared" si="8"/>
        <v>4174001.4107201812</v>
      </c>
    </row>
    <row r="21" spans="1:18" x14ac:dyDescent="0.25">
      <c r="A21" s="1">
        <f t="shared" si="1"/>
        <v>9</v>
      </c>
      <c r="B21" s="112" t="str">
        <f>"Aug-"&amp;YEAR('A1 (FF1 Inputs)'!$E$12)</f>
        <v>Aug-2020</v>
      </c>
      <c r="C21" s="130">
        <f>EOMONTH(C13,7)</f>
        <v>44074</v>
      </c>
      <c r="D21" s="1">
        <f t="shared" si="9"/>
        <v>31</v>
      </c>
      <c r="E21" s="1">
        <f t="shared" si="0"/>
        <v>123</v>
      </c>
      <c r="F21" s="1">
        <f t="shared" si="2"/>
        <v>366</v>
      </c>
      <c r="G21" s="110">
        <f t="shared" si="3"/>
        <v>0.33606557377049179</v>
      </c>
      <c r="J21" s="37">
        <v>0</v>
      </c>
      <c r="M21" s="41">
        <v>40519.524075926747</v>
      </c>
      <c r="N21" s="41">
        <f t="shared" si="4"/>
        <v>40519.524075926747</v>
      </c>
      <c r="O21" s="41">
        <f t="shared" si="5"/>
        <v>40519.524075926747</v>
      </c>
      <c r="P21" s="139">
        <f t="shared" si="6"/>
        <v>0</v>
      </c>
      <c r="Q21" s="41">
        <f t="shared" si="7"/>
        <v>0</v>
      </c>
      <c r="R21" s="41">
        <f t="shared" si="8"/>
        <v>4214520.9347961079</v>
      </c>
    </row>
    <row r="22" spans="1:18" x14ac:dyDescent="0.25">
      <c r="A22" s="1">
        <f t="shared" si="1"/>
        <v>10</v>
      </c>
      <c r="B22" s="112" t="str">
        <f>"Sep-"&amp;YEAR('A1 (FF1 Inputs)'!$E$12)</f>
        <v>Sep-2020</v>
      </c>
      <c r="C22" s="130">
        <f>EOMONTH(C13,8)</f>
        <v>44104</v>
      </c>
      <c r="D22" s="1">
        <f t="shared" si="9"/>
        <v>30</v>
      </c>
      <c r="E22" s="1">
        <f t="shared" si="0"/>
        <v>93</v>
      </c>
      <c r="F22" s="1">
        <f t="shared" si="2"/>
        <v>366</v>
      </c>
      <c r="G22" s="110">
        <f t="shared" si="3"/>
        <v>0.25409836065573771</v>
      </c>
      <c r="J22" s="37">
        <v>0</v>
      </c>
      <c r="M22" s="41">
        <v>40519.524075926282</v>
      </c>
      <c r="N22" s="41">
        <f t="shared" si="4"/>
        <v>40519.524075926282</v>
      </c>
      <c r="O22" s="41">
        <f t="shared" si="5"/>
        <v>40519.524075926282</v>
      </c>
      <c r="P22" s="139">
        <f t="shared" si="6"/>
        <v>0</v>
      </c>
      <c r="Q22" s="41">
        <f t="shared" si="7"/>
        <v>0</v>
      </c>
      <c r="R22" s="41">
        <f t="shared" si="8"/>
        <v>4255040.4588720342</v>
      </c>
    </row>
    <row r="23" spans="1:18" x14ac:dyDescent="0.25">
      <c r="A23" s="1">
        <f t="shared" si="1"/>
        <v>11</v>
      </c>
      <c r="B23" s="112" t="str">
        <f>"Oct-"&amp;YEAR('A1 (FF1 Inputs)'!$E$12)</f>
        <v>Oct-2020</v>
      </c>
      <c r="C23" s="130">
        <f>EOMONTH(C13,9)</f>
        <v>44135</v>
      </c>
      <c r="D23" s="1">
        <f t="shared" si="9"/>
        <v>31</v>
      </c>
      <c r="E23" s="1">
        <f t="shared" si="0"/>
        <v>62</v>
      </c>
      <c r="F23" s="1">
        <f t="shared" si="2"/>
        <v>366</v>
      </c>
      <c r="G23" s="110">
        <f t="shared" si="3"/>
        <v>0.16939890710382513</v>
      </c>
      <c r="J23" s="37">
        <v>0</v>
      </c>
      <c r="M23" s="41">
        <v>40519.524075927213</v>
      </c>
      <c r="N23" s="41">
        <f t="shared" si="4"/>
        <v>40519.524075927213</v>
      </c>
      <c r="O23" s="41">
        <f t="shared" si="5"/>
        <v>40519.524075927213</v>
      </c>
      <c r="P23" s="139">
        <f t="shared" si="6"/>
        <v>0</v>
      </c>
      <c r="Q23" s="41">
        <f t="shared" si="7"/>
        <v>0</v>
      </c>
      <c r="R23" s="41">
        <f t="shared" si="8"/>
        <v>4295559.9829479614</v>
      </c>
    </row>
    <row r="24" spans="1:18" x14ac:dyDescent="0.25">
      <c r="A24" s="1">
        <f t="shared" si="1"/>
        <v>12</v>
      </c>
      <c r="B24" s="112" t="str">
        <f>"Nov-"&amp;YEAR('A1 (FF1 Inputs)'!$E$12)</f>
        <v>Nov-2020</v>
      </c>
      <c r="C24" s="130">
        <f>EOMONTH(C13,10)</f>
        <v>44165</v>
      </c>
      <c r="D24" s="1">
        <f t="shared" si="9"/>
        <v>30</v>
      </c>
      <c r="E24" s="1">
        <f>D25+E25</f>
        <v>32</v>
      </c>
      <c r="F24" s="1">
        <f t="shared" si="2"/>
        <v>366</v>
      </c>
      <c r="G24" s="110">
        <f t="shared" si="3"/>
        <v>8.7431693989071038E-2</v>
      </c>
      <c r="J24" s="37">
        <v>0</v>
      </c>
      <c r="M24" s="41">
        <v>40519.52407592535</v>
      </c>
      <c r="N24" s="41">
        <f t="shared" si="4"/>
        <v>40519.52407592535</v>
      </c>
      <c r="O24" s="41">
        <f t="shared" si="5"/>
        <v>40519.52407592535</v>
      </c>
      <c r="P24" s="139">
        <f t="shared" si="6"/>
        <v>0</v>
      </c>
      <c r="Q24" s="41">
        <f t="shared" si="7"/>
        <v>0</v>
      </c>
      <c r="R24" s="41">
        <f t="shared" si="8"/>
        <v>4336079.5070238868</v>
      </c>
    </row>
    <row r="25" spans="1:18" x14ac:dyDescent="0.25">
      <c r="A25" s="1">
        <f t="shared" si="1"/>
        <v>13</v>
      </c>
      <c r="B25" s="112" t="str">
        <f>"Dec-"&amp;YEAR('A1 (FF1 Inputs)'!$E$12)</f>
        <v>Dec-2020</v>
      </c>
      <c r="C25" s="130">
        <f>EOMONTH(C13,11)</f>
        <v>44196</v>
      </c>
      <c r="D25" s="1">
        <f t="shared" si="9"/>
        <v>31</v>
      </c>
      <c r="E25" s="1">
        <v>1</v>
      </c>
      <c r="F25" s="1">
        <f t="shared" si="2"/>
        <v>366</v>
      </c>
      <c r="G25" s="110">
        <f t="shared" si="3"/>
        <v>2.7322404371584699E-3</v>
      </c>
      <c r="J25" s="37">
        <v>0</v>
      </c>
      <c r="M25" s="41">
        <v>40519.52407592535</v>
      </c>
      <c r="N25" s="41">
        <f t="shared" si="4"/>
        <v>40519.52407592535</v>
      </c>
      <c r="O25" s="41">
        <f t="shared" si="5"/>
        <v>40519.52407592535</v>
      </c>
      <c r="P25" s="139">
        <f t="shared" si="6"/>
        <v>0</v>
      </c>
      <c r="Q25" s="41">
        <f t="shared" si="7"/>
        <v>0</v>
      </c>
      <c r="R25" s="41">
        <f>IF(J25=0,R24+M25,IF((M25*J25)&lt;0,R24+Q25,R24+J25+O25-P25))</f>
        <v>4376599.0310998121</v>
      </c>
    </row>
    <row r="26" spans="1:18" s="6" customFormat="1" x14ac:dyDescent="0.25">
      <c r="A26" s="88">
        <f t="shared" si="1"/>
        <v>14</v>
      </c>
      <c r="B26" s="89" t="str">
        <f>"Total (Sum Lns. ("&amp;A13&amp;" through "&amp;A25&amp;"))"</f>
        <v>Total (Sum Lns. (1 through 13))</v>
      </c>
      <c r="C26" s="88"/>
      <c r="D26" s="89"/>
      <c r="E26" s="89"/>
      <c r="F26" s="89"/>
      <c r="G26" s="89"/>
      <c r="H26" s="89"/>
      <c r="I26" s="89"/>
      <c r="J26" s="90">
        <f>SUM(J14:J25)</f>
        <v>0</v>
      </c>
      <c r="K26" s="89"/>
      <c r="L26" s="89"/>
      <c r="M26" s="90">
        <f>SUM(M14:M25)</f>
        <v>486234.28891111491</v>
      </c>
      <c r="N26" s="90">
        <f t="shared" ref="N26:Q26" si="10">SUM(N14:N25)</f>
        <v>486234.28891111491</v>
      </c>
      <c r="O26" s="90">
        <f t="shared" si="10"/>
        <v>486234.28891111491</v>
      </c>
      <c r="P26" s="90">
        <f t="shared" si="10"/>
        <v>0</v>
      </c>
      <c r="Q26" s="90">
        <f t="shared" si="10"/>
        <v>0</v>
      </c>
      <c r="R26" s="89"/>
    </row>
    <row r="28" spans="1:18" x14ac:dyDescent="0.25">
      <c r="B28" s="132" t="s">
        <v>776</v>
      </c>
    </row>
    <row r="29" spans="1:18" x14ac:dyDescent="0.25">
      <c r="A29" s="1">
        <f>A26+1</f>
        <v>15</v>
      </c>
      <c r="B29" s="127" t="str">
        <f>"Beginning of Year Balance ("&amp;'A8 (ADIT Balances)'!$AF$1&amp;", Ln. "&amp;'A8 (ADIT Balances)'!$A$44&amp;", Col. [q])"</f>
        <v>Beginning of Year Balance (Worksheet A8, Ln. 4, Col. [q])</v>
      </c>
      <c r="R29" s="10">
        <f>'A8 (ADIT Balances)'!R44</f>
        <v>4170733.1649626503</v>
      </c>
    </row>
    <row r="30" spans="1:18" x14ac:dyDescent="0.25">
      <c r="A30" s="1">
        <f>A29+1</f>
        <v>16</v>
      </c>
      <c r="B30" s="127" t="str">
        <f>"End of Year Balance ("&amp;'A8 (ADIT Balances)'!$AF$1&amp;", Ln. "&amp;'A8 (ADIT Balances)'!$A$44&amp;", Col. [cc])"</f>
        <v>End of Year Balance (Worksheet A8, Ln. 4, Col. [cc])</v>
      </c>
      <c r="R30" s="64">
        <f>'A8 (ADIT Balances)'!AD44</f>
        <v>3603275.6851416137</v>
      </c>
    </row>
    <row r="31" spans="1:18" x14ac:dyDescent="0.25">
      <c r="A31" s="1">
        <f t="shared" ref="A31" si="11">A30+1</f>
        <v>17</v>
      </c>
      <c r="B31" s="127" t="str">
        <f>"Average of Beginning of Year and End of Year Balances (Average Lns. "&amp;A29&amp;" and "&amp;A30&amp;")"</f>
        <v>Average of Beginning of Year and End of Year Balances (Average Lns. 15 and 16)</v>
      </c>
      <c r="R31" s="10">
        <f>AVERAGE(R29,R30)</f>
        <v>3887004.425052132</v>
      </c>
    </row>
    <row r="32" spans="1:18" x14ac:dyDescent="0.25">
      <c r="B32" s="132"/>
    </row>
    <row r="33" spans="1:18" x14ac:dyDescent="0.25">
      <c r="A33" s="1">
        <f>A31+1</f>
        <v>18</v>
      </c>
      <c r="B33" s="127" t="str">
        <f>"Total Account No. 190 - Prorated Balance at End of Year (Ln. "&amp;A25&amp;", Col. "&amp;$R$9&amp;")"</f>
        <v>Total Account No. 190 - Prorated Balance at End of Year (Ln. 13, Col. [l])</v>
      </c>
      <c r="R33" s="10">
        <f>R25</f>
        <v>4376599.0310998121</v>
      </c>
    </row>
    <row r="34" spans="1:18" x14ac:dyDescent="0.25">
      <c r="B34" s="127"/>
    </row>
    <row r="35" spans="1:18" ht="16.5" thickBot="1" x14ac:dyDescent="0.3">
      <c r="A35" s="1">
        <f>A33+1</f>
        <v>19</v>
      </c>
      <c r="B35" s="127" t="str">
        <f>"Total Average Account No. 190 Balance (Lns. ("&amp;A31&amp;" + "&amp;A33&amp;"))"</f>
        <v>Total Average Account No. 190 Balance (Lns. (17 + 18))</v>
      </c>
      <c r="R35" s="133">
        <f>R31+R33</f>
        <v>8263603.4561519437</v>
      </c>
    </row>
    <row r="37" spans="1:18" x14ac:dyDescent="0.25">
      <c r="A37" s="89" t="s">
        <v>799</v>
      </c>
      <c r="B37" s="50"/>
      <c r="C37" s="49"/>
      <c r="D37" s="50"/>
      <c r="E37" s="50"/>
      <c r="F37" s="50"/>
      <c r="G37" s="50"/>
      <c r="H37" s="50"/>
      <c r="I37" s="50"/>
      <c r="J37" s="50"/>
      <c r="K37" s="50"/>
      <c r="L37" s="50"/>
      <c r="M37" s="50"/>
      <c r="N37" s="50"/>
      <c r="O37" s="50"/>
      <c r="P37" s="50"/>
      <c r="Q37" s="50"/>
      <c r="R37" s="50"/>
    </row>
    <row r="38" spans="1:18" x14ac:dyDescent="0.25">
      <c r="A38" s="1">
        <f>A35+1</f>
        <v>20</v>
      </c>
      <c r="B38" s="112" t="str">
        <f>"Dec-"&amp;YEAR('A1 (FF1 Inputs)'!$E$12)-1&amp;" ("&amp;'A8 (ADIT Balances)'!$AF$1&amp;", Ln. "&amp;'A8 (ADIT Balances)'!A59&amp;", Col. [q])"</f>
        <v>Dec-2019 (Worksheet A8, Ln. 7, Col. [q])</v>
      </c>
      <c r="C38" s="130">
        <f>'A1 (FF1 Inputs)'!$E$12</f>
        <v>43831</v>
      </c>
      <c r="R38" s="10">
        <f>'A8 (ADIT Balances)'!R59</f>
        <v>-55211169.121763475</v>
      </c>
    </row>
    <row r="39" spans="1:18" x14ac:dyDescent="0.25">
      <c r="A39" s="1">
        <f>A38+1</f>
        <v>21</v>
      </c>
      <c r="B39" s="112" t="str">
        <f>"Jan-"&amp;YEAR('A1 (FF1 Inputs)'!$E$12)</f>
        <v>Jan-2020</v>
      </c>
      <c r="C39" s="130">
        <f>EOMONTH(C38,0)</f>
        <v>43861</v>
      </c>
      <c r="D39" s="1">
        <f>_xlfn.DAYS(C39,C38-1)</f>
        <v>31</v>
      </c>
      <c r="E39" s="1">
        <f t="shared" ref="E39:E48" si="12">D40+E40</f>
        <v>336</v>
      </c>
      <c r="F39" s="1">
        <f>SUM($D$14:$D$25)</f>
        <v>366</v>
      </c>
      <c r="G39" s="110">
        <f>E39/F39</f>
        <v>0.91803278688524592</v>
      </c>
      <c r="J39" s="37">
        <v>0</v>
      </c>
      <c r="M39" s="41">
        <f t="array" ref="M39:M50">TRANSPOSE('A8 (ADIT Balances)'!S60:AD60)</f>
        <v>-99181.944489739835</v>
      </c>
      <c r="N39" s="41">
        <f>M39-J39</f>
        <v>-99181.944489739835</v>
      </c>
      <c r="O39" s="41">
        <f>IF(AND(J39&gt;=0,M39&gt;=0),IF(N39&gt;=0,N39,0),IF(AND(J39&lt;0,M39&lt;0),IF(N39&lt;0,N39,0),0))</f>
        <v>0</v>
      </c>
      <c r="P39" s="139">
        <f>IF(AND(J39&gt;=0,M39&gt;=0),IF(O39&gt;0,0,IF(M39&lt;0,0,(-(N39)*(E39/F39)))),IF(AND(J39&lt;0,M39&lt;0),IF(O39&lt;0,0,IF(M39&gt;0,0,(-(N39)*(E39/F39)))),0))</f>
        <v>0</v>
      </c>
      <c r="Q39" s="41">
        <f>IF(AND(J39&gt;=0,M39&lt;0),M39,IF(AND(J39&lt;0,M39&gt;0),M39,0))</f>
        <v>-99181.944489739835</v>
      </c>
      <c r="R39" s="41">
        <f>IF(J39=0,R38+M39,IF((M39*J39)&lt;0,R38+Q39,R38+J39+O39-P39))</f>
        <v>-55310351.066253215</v>
      </c>
    </row>
    <row r="40" spans="1:18" x14ac:dyDescent="0.25">
      <c r="A40" s="1">
        <f t="shared" ref="A40:A51" si="13">A39+1</f>
        <v>22</v>
      </c>
      <c r="B40" s="112" t="str">
        <f>"Feb-"&amp;YEAR('A1 (FF1 Inputs)'!$E$12)</f>
        <v>Feb-2020</v>
      </c>
      <c r="C40" s="130">
        <f>EOMONTH(C38,1)</f>
        <v>43890</v>
      </c>
      <c r="D40" s="1">
        <f>_xlfn.DAYS(C40,C39)</f>
        <v>29</v>
      </c>
      <c r="E40" s="1">
        <f t="shared" si="12"/>
        <v>307</v>
      </c>
      <c r="F40" s="1">
        <f t="shared" ref="F40:F50" si="14">SUM($D$14:$D$25)</f>
        <v>366</v>
      </c>
      <c r="G40" s="110">
        <f t="shared" ref="G40:G50" si="15">E40/F40</f>
        <v>0.83879781420765032</v>
      </c>
      <c r="J40" s="37">
        <v>0</v>
      </c>
      <c r="M40" s="41">
        <v>-99181.944489739835</v>
      </c>
      <c r="N40" s="41">
        <f t="shared" ref="N40:N50" si="16">M40-J40</f>
        <v>-99181.944489739835</v>
      </c>
      <c r="O40" s="41">
        <f t="shared" ref="O40:O50" si="17">IF(AND(J40&gt;=0,M40&gt;=0),IF(N40&gt;=0,N40,0),IF(AND(J40&lt;0,M40&lt;0),IF(N40&lt;0,N40,0),0))</f>
        <v>0</v>
      </c>
      <c r="P40" s="139">
        <f t="shared" ref="P40:P50" si="18">IF(AND(J40&gt;=0,M40&gt;=0),IF(O40&gt;0,0,IF(M40&lt;0,0,(-(N40)*(E40/F40)))),IF(AND(J40&lt;0,M40&lt;0),IF(O40&lt;0,0,IF(M40&gt;0,0,(-(N40)*(E40/F40)))),0))</f>
        <v>0</v>
      </c>
      <c r="Q40" s="41">
        <f t="shared" ref="Q40:Q50" si="19">IF(AND(J40&gt;=0,M40&lt;0),M40,IF(AND(J40&lt;0,M40&gt;0),M40,0))</f>
        <v>-99181.944489739835</v>
      </c>
      <c r="R40" s="41">
        <f t="shared" ref="R40:R50" si="20">IF(J40=0,R39+M40,IF((M40*J40)&lt;0,R39+Q40,R39+J40+O40-P40))</f>
        <v>-55409533.010742955</v>
      </c>
    </row>
    <row r="41" spans="1:18" x14ac:dyDescent="0.25">
      <c r="A41" s="1">
        <f t="shared" si="13"/>
        <v>23</v>
      </c>
      <c r="B41" s="112" t="str">
        <f>"Mar-"&amp;YEAR('A1 (FF1 Inputs)'!$E$12)</f>
        <v>Mar-2020</v>
      </c>
      <c r="C41" s="130">
        <f>EOMONTH(C38,2)</f>
        <v>43921</v>
      </c>
      <c r="D41" s="1">
        <f t="shared" ref="D41:D50" si="21">_xlfn.DAYS(C41,C40)</f>
        <v>31</v>
      </c>
      <c r="E41" s="1">
        <f t="shared" si="12"/>
        <v>276</v>
      </c>
      <c r="F41" s="1">
        <f t="shared" si="14"/>
        <v>366</v>
      </c>
      <c r="G41" s="110">
        <f t="shared" si="15"/>
        <v>0.75409836065573765</v>
      </c>
      <c r="J41" s="37">
        <v>0</v>
      </c>
      <c r="M41" s="41">
        <v>-99181.944489732385</v>
      </c>
      <c r="N41" s="41">
        <f t="shared" si="16"/>
        <v>-99181.944489732385</v>
      </c>
      <c r="O41" s="41">
        <f t="shared" si="17"/>
        <v>0</v>
      </c>
      <c r="P41" s="139">
        <f t="shared" si="18"/>
        <v>0</v>
      </c>
      <c r="Q41" s="41">
        <f t="shared" si="19"/>
        <v>-99181.944489732385</v>
      </c>
      <c r="R41" s="41">
        <f t="shared" si="20"/>
        <v>-55508714.955232687</v>
      </c>
    </row>
    <row r="42" spans="1:18" x14ac:dyDescent="0.25">
      <c r="A42" s="1">
        <f t="shared" si="13"/>
        <v>24</v>
      </c>
      <c r="B42" s="112" t="str">
        <f>"Apr-"&amp;YEAR('A1 (FF1 Inputs)'!$E$12)</f>
        <v>Apr-2020</v>
      </c>
      <c r="C42" s="130">
        <f>EOMONTH(C38,3)</f>
        <v>43951</v>
      </c>
      <c r="D42" s="1">
        <f t="shared" si="21"/>
        <v>30</v>
      </c>
      <c r="E42" s="1">
        <f t="shared" si="12"/>
        <v>246</v>
      </c>
      <c r="F42" s="1">
        <f t="shared" si="14"/>
        <v>366</v>
      </c>
      <c r="G42" s="110">
        <f t="shared" si="15"/>
        <v>0.67213114754098358</v>
      </c>
      <c r="J42" s="37">
        <v>0</v>
      </c>
      <c r="M42" s="41">
        <v>-99181.944489739835</v>
      </c>
      <c r="N42" s="41">
        <f t="shared" si="16"/>
        <v>-99181.944489739835</v>
      </c>
      <c r="O42" s="41">
        <f t="shared" si="17"/>
        <v>0</v>
      </c>
      <c r="P42" s="139">
        <f t="shared" si="18"/>
        <v>0</v>
      </c>
      <c r="Q42" s="41">
        <f t="shared" si="19"/>
        <v>-99181.944489739835</v>
      </c>
      <c r="R42" s="41">
        <f t="shared" si="20"/>
        <v>-55607896.899722427</v>
      </c>
    </row>
    <row r="43" spans="1:18" x14ac:dyDescent="0.25">
      <c r="A43" s="1">
        <f t="shared" si="13"/>
        <v>25</v>
      </c>
      <c r="B43" s="112" t="str">
        <f>"May-"&amp;YEAR('A1 (FF1 Inputs)'!$E$12)</f>
        <v>May-2020</v>
      </c>
      <c r="C43" s="130">
        <f>EOMONTH(C38,4)</f>
        <v>43982</v>
      </c>
      <c r="D43" s="1">
        <f t="shared" si="21"/>
        <v>31</v>
      </c>
      <c r="E43" s="1">
        <f t="shared" si="12"/>
        <v>215</v>
      </c>
      <c r="F43" s="1">
        <f t="shared" si="14"/>
        <v>366</v>
      </c>
      <c r="G43" s="110">
        <f t="shared" si="15"/>
        <v>0.58743169398907102</v>
      </c>
      <c r="J43" s="37">
        <v>0</v>
      </c>
      <c r="M43" s="41">
        <v>-99181.944489739835</v>
      </c>
      <c r="N43" s="41">
        <f t="shared" si="16"/>
        <v>-99181.944489739835</v>
      </c>
      <c r="O43" s="41">
        <f t="shared" si="17"/>
        <v>0</v>
      </c>
      <c r="P43" s="139">
        <f t="shared" si="18"/>
        <v>0</v>
      </c>
      <c r="Q43" s="41">
        <f t="shared" si="19"/>
        <v>-99181.944489739835</v>
      </c>
      <c r="R43" s="41">
        <f t="shared" si="20"/>
        <v>-55707078.844212167</v>
      </c>
    </row>
    <row r="44" spans="1:18" x14ac:dyDescent="0.25">
      <c r="A44" s="1">
        <f t="shared" si="13"/>
        <v>26</v>
      </c>
      <c r="B44" s="112" t="str">
        <f>"Jun-"&amp;YEAR('A1 (FF1 Inputs)'!$E$12)</f>
        <v>Jun-2020</v>
      </c>
      <c r="C44" s="130">
        <f>EOMONTH(C38,5)</f>
        <v>44012</v>
      </c>
      <c r="D44" s="1">
        <f t="shared" si="21"/>
        <v>30</v>
      </c>
      <c r="E44" s="1">
        <f t="shared" si="12"/>
        <v>185</v>
      </c>
      <c r="F44" s="1">
        <f t="shared" si="14"/>
        <v>366</v>
      </c>
      <c r="G44" s="110">
        <f t="shared" si="15"/>
        <v>0.50546448087431695</v>
      </c>
      <c r="J44" s="37">
        <v>0</v>
      </c>
      <c r="M44" s="41">
        <v>-99181.944489747286</v>
      </c>
      <c r="N44" s="41">
        <f t="shared" si="16"/>
        <v>-99181.944489747286</v>
      </c>
      <c r="O44" s="41">
        <f t="shared" si="17"/>
        <v>0</v>
      </c>
      <c r="P44" s="139">
        <f t="shared" si="18"/>
        <v>0</v>
      </c>
      <c r="Q44" s="41">
        <f t="shared" si="19"/>
        <v>-99181.944489747286</v>
      </c>
      <c r="R44" s="41">
        <f t="shared" si="20"/>
        <v>-55806260.788701914</v>
      </c>
    </row>
    <row r="45" spans="1:18" x14ac:dyDescent="0.25">
      <c r="A45" s="1">
        <f t="shared" si="13"/>
        <v>27</v>
      </c>
      <c r="B45" s="112" t="str">
        <f>"Jul-"&amp;YEAR('A1 (FF1 Inputs)'!$E$12)</f>
        <v>Jul-2020</v>
      </c>
      <c r="C45" s="130">
        <f>EOMONTH(C38,6)</f>
        <v>44043</v>
      </c>
      <c r="D45" s="1">
        <f t="shared" si="21"/>
        <v>31</v>
      </c>
      <c r="E45" s="1">
        <f t="shared" si="12"/>
        <v>154</v>
      </c>
      <c r="F45" s="1">
        <f t="shared" si="14"/>
        <v>366</v>
      </c>
      <c r="G45" s="110">
        <f t="shared" si="15"/>
        <v>0.42076502732240439</v>
      </c>
      <c r="J45" s="37">
        <v>0</v>
      </c>
      <c r="M45" s="41">
        <v>-99181.944489739835</v>
      </c>
      <c r="N45" s="41">
        <f t="shared" si="16"/>
        <v>-99181.944489739835</v>
      </c>
      <c r="O45" s="41">
        <f t="shared" si="17"/>
        <v>0</v>
      </c>
      <c r="P45" s="139">
        <f t="shared" si="18"/>
        <v>0</v>
      </c>
      <c r="Q45" s="41">
        <f t="shared" si="19"/>
        <v>-99181.944489739835</v>
      </c>
      <c r="R45" s="41">
        <f t="shared" si="20"/>
        <v>-55905442.733191654</v>
      </c>
    </row>
    <row r="46" spans="1:18" x14ac:dyDescent="0.25">
      <c r="A46" s="1">
        <f t="shared" si="13"/>
        <v>28</v>
      </c>
      <c r="B46" s="112" t="str">
        <f>"Aug-"&amp;YEAR('A1 (FF1 Inputs)'!$E$12)</f>
        <v>Aug-2020</v>
      </c>
      <c r="C46" s="130">
        <f>EOMONTH(C38,7)</f>
        <v>44074</v>
      </c>
      <c r="D46" s="1">
        <f t="shared" si="21"/>
        <v>31</v>
      </c>
      <c r="E46" s="1">
        <f t="shared" si="12"/>
        <v>123</v>
      </c>
      <c r="F46" s="1">
        <f t="shared" si="14"/>
        <v>366</v>
      </c>
      <c r="G46" s="110">
        <f t="shared" si="15"/>
        <v>0.33606557377049179</v>
      </c>
      <c r="J46" s="37">
        <v>0</v>
      </c>
      <c r="M46" s="41">
        <v>-99181.944489732385</v>
      </c>
      <c r="N46" s="41">
        <f t="shared" si="16"/>
        <v>-99181.944489732385</v>
      </c>
      <c r="O46" s="41">
        <f t="shared" si="17"/>
        <v>0</v>
      </c>
      <c r="P46" s="139">
        <f t="shared" si="18"/>
        <v>0</v>
      </c>
      <c r="Q46" s="41">
        <f t="shared" si="19"/>
        <v>-99181.944489732385</v>
      </c>
      <c r="R46" s="41">
        <f t="shared" si="20"/>
        <v>-56004624.677681386</v>
      </c>
    </row>
    <row r="47" spans="1:18" x14ac:dyDescent="0.25">
      <c r="A47" s="1">
        <f t="shared" si="13"/>
        <v>29</v>
      </c>
      <c r="B47" s="112" t="str">
        <f>"Sep-"&amp;YEAR('A1 (FF1 Inputs)'!$E$12)</f>
        <v>Sep-2020</v>
      </c>
      <c r="C47" s="130">
        <f>EOMONTH(C38,8)</f>
        <v>44104</v>
      </c>
      <c r="D47" s="1">
        <f t="shared" si="21"/>
        <v>30</v>
      </c>
      <c r="E47" s="1">
        <f t="shared" si="12"/>
        <v>93</v>
      </c>
      <c r="F47" s="1">
        <f t="shared" si="14"/>
        <v>366</v>
      </c>
      <c r="G47" s="110">
        <f t="shared" si="15"/>
        <v>0.25409836065573771</v>
      </c>
      <c r="J47" s="37">
        <v>0</v>
      </c>
      <c r="M47" s="41">
        <v>-99181.944489747286</v>
      </c>
      <c r="N47" s="41">
        <f t="shared" si="16"/>
        <v>-99181.944489747286</v>
      </c>
      <c r="O47" s="41">
        <f t="shared" si="17"/>
        <v>0</v>
      </c>
      <c r="P47" s="139">
        <f t="shared" si="18"/>
        <v>0</v>
      </c>
      <c r="Q47" s="41">
        <f t="shared" si="19"/>
        <v>-99181.944489747286</v>
      </c>
      <c r="R47" s="41">
        <f t="shared" si="20"/>
        <v>-56103806.622171134</v>
      </c>
    </row>
    <row r="48" spans="1:18" x14ac:dyDescent="0.25">
      <c r="A48" s="1">
        <f t="shared" si="13"/>
        <v>30</v>
      </c>
      <c r="B48" s="112" t="str">
        <f>"Oct-"&amp;YEAR('A1 (FF1 Inputs)'!$E$12)</f>
        <v>Oct-2020</v>
      </c>
      <c r="C48" s="130">
        <f>EOMONTH(C38,9)</f>
        <v>44135</v>
      </c>
      <c r="D48" s="1">
        <f t="shared" si="21"/>
        <v>31</v>
      </c>
      <c r="E48" s="1">
        <f t="shared" si="12"/>
        <v>62</v>
      </c>
      <c r="F48" s="1">
        <f t="shared" si="14"/>
        <v>366</v>
      </c>
      <c r="G48" s="110">
        <f t="shared" si="15"/>
        <v>0.16939890710382513</v>
      </c>
      <c r="J48" s="37">
        <v>0</v>
      </c>
      <c r="M48" s="41">
        <v>-99181.944489739835</v>
      </c>
      <c r="N48" s="41">
        <f t="shared" si="16"/>
        <v>-99181.944489739835</v>
      </c>
      <c r="O48" s="41">
        <f t="shared" si="17"/>
        <v>0</v>
      </c>
      <c r="P48" s="139">
        <f t="shared" si="18"/>
        <v>0</v>
      </c>
      <c r="Q48" s="41">
        <f t="shared" si="19"/>
        <v>-99181.944489739835</v>
      </c>
      <c r="R48" s="41">
        <f t="shared" si="20"/>
        <v>-56202988.566660874</v>
      </c>
    </row>
    <row r="49" spans="1:18" x14ac:dyDescent="0.25">
      <c r="A49" s="1">
        <f t="shared" si="13"/>
        <v>31</v>
      </c>
      <c r="B49" s="112" t="str">
        <f>"Nov-"&amp;YEAR('A1 (FF1 Inputs)'!$E$12)</f>
        <v>Nov-2020</v>
      </c>
      <c r="C49" s="130">
        <f>EOMONTH(C38,10)</f>
        <v>44165</v>
      </c>
      <c r="D49" s="1">
        <f t="shared" si="21"/>
        <v>30</v>
      </c>
      <c r="E49" s="1">
        <f>D50+E50</f>
        <v>32</v>
      </c>
      <c r="F49" s="1">
        <f t="shared" si="14"/>
        <v>366</v>
      </c>
      <c r="G49" s="110">
        <f t="shared" si="15"/>
        <v>8.7431693989071038E-2</v>
      </c>
      <c r="J49" s="37">
        <v>0</v>
      </c>
      <c r="M49" s="41">
        <v>-99181.944489739835</v>
      </c>
      <c r="N49" s="41">
        <f t="shared" si="16"/>
        <v>-99181.944489739835</v>
      </c>
      <c r="O49" s="41">
        <f t="shared" si="17"/>
        <v>0</v>
      </c>
      <c r="P49" s="139">
        <f t="shared" si="18"/>
        <v>0</v>
      </c>
      <c r="Q49" s="41">
        <f t="shared" si="19"/>
        <v>-99181.944489739835</v>
      </c>
      <c r="R49" s="41">
        <f t="shared" si="20"/>
        <v>-56302170.511150613</v>
      </c>
    </row>
    <row r="50" spans="1:18" x14ac:dyDescent="0.25">
      <c r="A50" s="1">
        <f t="shared" si="13"/>
        <v>32</v>
      </c>
      <c r="B50" s="112" t="str">
        <f>"Dec-"&amp;YEAR('A1 (FF1 Inputs)'!$E$12)</f>
        <v>Dec-2020</v>
      </c>
      <c r="C50" s="130">
        <f>EOMONTH(C38,11)</f>
        <v>44196</v>
      </c>
      <c r="D50" s="1">
        <f t="shared" si="21"/>
        <v>31</v>
      </c>
      <c r="E50" s="1">
        <v>1</v>
      </c>
      <c r="F50" s="1">
        <f t="shared" si="14"/>
        <v>366</v>
      </c>
      <c r="G50" s="110">
        <f t="shared" si="15"/>
        <v>2.7322404371584699E-3</v>
      </c>
      <c r="J50" s="37">
        <v>0</v>
      </c>
      <c r="M50" s="41">
        <v>-99181.944489762187</v>
      </c>
      <c r="N50" s="41">
        <f t="shared" si="16"/>
        <v>-99181.944489762187</v>
      </c>
      <c r="O50" s="41">
        <f t="shared" si="17"/>
        <v>0</v>
      </c>
      <c r="P50" s="139">
        <f t="shared" si="18"/>
        <v>0</v>
      </c>
      <c r="Q50" s="41">
        <f t="shared" si="19"/>
        <v>-99181.944489762187</v>
      </c>
      <c r="R50" s="41">
        <f t="shared" si="20"/>
        <v>-56401352.455640376</v>
      </c>
    </row>
    <row r="51" spans="1:18" x14ac:dyDescent="0.25">
      <c r="A51" s="88">
        <f t="shared" si="13"/>
        <v>33</v>
      </c>
      <c r="B51" s="89" t="str">
        <f>"Total (Sum Lns. ("&amp;A38&amp;" through "&amp;A50&amp;"))"</f>
        <v>Total (Sum Lns. (20 through 32))</v>
      </c>
      <c r="C51" s="88"/>
      <c r="D51" s="89"/>
      <c r="E51" s="89"/>
      <c r="F51" s="89"/>
      <c r="G51" s="89"/>
      <c r="H51" s="89"/>
      <c r="I51" s="89"/>
      <c r="J51" s="90">
        <f>SUM(J39:J50)</f>
        <v>0</v>
      </c>
      <c r="K51" s="89"/>
      <c r="L51" s="89"/>
      <c r="M51" s="90">
        <f>SUM(M39:M50)</f>
        <v>-1190183.3338769004</v>
      </c>
      <c r="N51" s="90">
        <f t="shared" ref="N51" si="22">SUM(N39:N50)</f>
        <v>-1190183.3338769004</v>
      </c>
      <c r="O51" s="90">
        <f t="shared" ref="O51" si="23">SUM(O39:O50)</f>
        <v>0</v>
      </c>
      <c r="P51" s="90">
        <f t="shared" ref="P51" si="24">SUM(P39:P50)</f>
        <v>0</v>
      </c>
      <c r="Q51" s="90">
        <f t="shared" ref="Q51" si="25">SUM(Q39:Q50)</f>
        <v>-1190183.3338769004</v>
      </c>
      <c r="R51" s="89"/>
    </row>
    <row r="53" spans="1:18" x14ac:dyDescent="0.25">
      <c r="B53" s="132" t="s">
        <v>778</v>
      </c>
    </row>
    <row r="54" spans="1:18" x14ac:dyDescent="0.25">
      <c r="A54" s="1">
        <f>A51+1</f>
        <v>34</v>
      </c>
      <c r="B54" s="127" t="str">
        <f>"Beginning of Year Balance ("&amp;'A8 (ADIT Balances)'!$AF$1&amp;", Ln. "&amp;'A8 (ADIT Balances)'!$A$61&amp;", Col. [q])"</f>
        <v>Beginning of Year Balance (Worksheet A8, Ln. 8, Col. [q])</v>
      </c>
      <c r="R54" s="10">
        <f>'A8 (ADIT Balances)'!R61</f>
        <v>0</v>
      </c>
    </row>
    <row r="55" spans="1:18" x14ac:dyDescent="0.25">
      <c r="A55" s="1">
        <f>A54+1</f>
        <v>35</v>
      </c>
      <c r="B55" s="127" t="str">
        <f>"End of Year Balance ("&amp;'A8 (ADIT Balances)'!$AF$1&amp;", Ln. "&amp;'A8 (ADIT Balances)'!$A$61&amp;", Col. [cc])"</f>
        <v>End of Year Balance (Worksheet A8, Ln. 8, Col. [cc])</v>
      </c>
      <c r="R55" s="64">
        <f>'A8 (ADIT Balances)'!AD61</f>
        <v>0</v>
      </c>
    </row>
    <row r="56" spans="1:18" x14ac:dyDescent="0.25">
      <c r="A56" s="1">
        <f t="shared" ref="A56" si="26">A55+1</f>
        <v>36</v>
      </c>
      <c r="B56" s="127" t="str">
        <f>"Average of Beginning of Year and End of Year Balances (Average Lns. "&amp;A54&amp;" and "&amp;A55&amp;")"</f>
        <v>Average of Beginning of Year and End of Year Balances (Average Lns. 34 and 35)</v>
      </c>
      <c r="R56" s="10">
        <f>AVERAGE(R54,R55)</f>
        <v>0</v>
      </c>
    </row>
    <row r="57" spans="1:18" x14ac:dyDescent="0.25">
      <c r="B57" s="132"/>
    </row>
    <row r="58" spans="1:18" x14ac:dyDescent="0.25">
      <c r="A58" s="1">
        <f>A56+1</f>
        <v>37</v>
      </c>
      <c r="B58" s="127" t="str">
        <f>"Total Account No. 282 - Prorated Balance at End of Year (Ln. "&amp;A50&amp;", Col. "&amp;$R$9&amp;")"</f>
        <v>Total Account No. 282 - Prorated Balance at End of Year (Ln. 32, Col. [l])</v>
      </c>
      <c r="R58" s="10">
        <f>R50</f>
        <v>-56401352.455640376</v>
      </c>
    </row>
    <row r="59" spans="1:18" x14ac:dyDescent="0.25">
      <c r="B59" s="127"/>
    </row>
    <row r="60" spans="1:18" ht="16.5" thickBot="1" x14ac:dyDescent="0.3">
      <c r="A60" s="1">
        <f>A58+1</f>
        <v>38</v>
      </c>
      <c r="B60" s="127" t="str">
        <f>"Total Average Account No. 282 Balance (Lns. ("&amp;A56&amp;" + "&amp;A58&amp;"))"</f>
        <v>Total Average Account No. 282 Balance (Lns. (36 + 37))</v>
      </c>
      <c r="R60" s="133">
        <f>R56+R58</f>
        <v>-56401352.455640376</v>
      </c>
    </row>
    <row r="62" spans="1:18" x14ac:dyDescent="0.25">
      <c r="A62" s="89" t="s">
        <v>800</v>
      </c>
      <c r="B62" s="50"/>
      <c r="C62" s="49"/>
      <c r="D62" s="50"/>
      <c r="E62" s="50"/>
      <c r="F62" s="50"/>
      <c r="G62" s="50"/>
      <c r="H62" s="50"/>
      <c r="I62" s="50"/>
      <c r="J62" s="50"/>
      <c r="K62" s="50"/>
      <c r="L62" s="50"/>
      <c r="M62" s="50"/>
      <c r="N62" s="50"/>
      <c r="O62" s="50"/>
      <c r="P62" s="50"/>
      <c r="Q62" s="50"/>
      <c r="R62" s="50"/>
    </row>
    <row r="63" spans="1:18" x14ac:dyDescent="0.25">
      <c r="A63" s="1">
        <f>A60+1</f>
        <v>39</v>
      </c>
      <c r="B63" s="112" t="str">
        <f>"Dec-"&amp;YEAR('A1 (FF1 Inputs)'!$E$12)-1&amp;" ("&amp;'A8 (ADIT Balances)'!$AF$1&amp;", Ln. "&amp;'A8 (ADIT Balances)'!A79&amp;", Col. [q])"</f>
        <v>Dec-2019 (Worksheet A8, Ln. 11, Col. [q])</v>
      </c>
      <c r="C63" s="130">
        <f>'A1 (FF1 Inputs)'!$E$12</f>
        <v>43831</v>
      </c>
      <c r="R63" s="10">
        <f>'A8 (ADIT Balances)'!R79</f>
        <v>-330492.52087947109</v>
      </c>
    </row>
    <row r="64" spans="1:18" x14ac:dyDescent="0.25">
      <c r="A64" s="1">
        <f>A63+1</f>
        <v>40</v>
      </c>
      <c r="B64" s="112" t="str">
        <f>"Jan-"&amp;YEAR('A1 (FF1 Inputs)'!$E$12)</f>
        <v>Jan-2020</v>
      </c>
      <c r="C64" s="130">
        <f>EOMONTH(C63,0)</f>
        <v>43861</v>
      </c>
      <c r="D64" s="1">
        <f>_xlfn.DAYS(C64,C63-1)</f>
        <v>31</v>
      </c>
      <c r="E64" s="1">
        <f t="shared" ref="E64:E73" si="27">D65+E65</f>
        <v>336</v>
      </c>
      <c r="F64" s="1">
        <f>SUM($D$14:$D$25)</f>
        <v>366</v>
      </c>
      <c r="G64" s="110">
        <f>E64/F64</f>
        <v>0.91803278688524592</v>
      </c>
      <c r="J64" s="37">
        <v>0</v>
      </c>
      <c r="M64" s="41">
        <f t="array" ref="M64:M75">TRANSPOSE('A8 (ADIT Balances)'!S80:AD80)</f>
        <v>-2205.8487496342859</v>
      </c>
      <c r="N64" s="41">
        <f>M64-J64</f>
        <v>-2205.8487496342859</v>
      </c>
      <c r="O64" s="41">
        <f>IF(AND(J64&gt;=0,M64&gt;=0),IF(N64&gt;=0,N64,0),IF(AND(J64&lt;0,M64&lt;0),IF(N64&lt;0,N64,0),0))</f>
        <v>0</v>
      </c>
      <c r="P64" s="139">
        <f>IF(AND(J64&gt;=0,M64&gt;=0),IF(O64&gt;0,0,IF(M64&lt;0,0,(-(N64)*(E64/F64)))),IF(AND(J64&lt;0,M64&lt;0),IF(O64&lt;0,0,IF(M64&gt;0,0,(-(N64)*(E64/F64)))),0))</f>
        <v>0</v>
      </c>
      <c r="Q64" s="41">
        <f>IF(AND(J64&gt;=0,M64&lt;0),M64,IF(AND(J64&lt;0,M64&gt;0),M64,0))</f>
        <v>-2205.8487496342859</v>
      </c>
      <c r="R64" s="41">
        <f>IF(J64=0,R63+M64,IF((M64*J64)&lt;0,R63+Q64,R63+J64+O64-P64))</f>
        <v>-332698.36962910538</v>
      </c>
    </row>
    <row r="65" spans="1:18" x14ac:dyDescent="0.25">
      <c r="A65" s="1">
        <f t="shared" ref="A65:A76" si="28">A64+1</f>
        <v>41</v>
      </c>
      <c r="B65" s="112" t="str">
        <f>"Feb-"&amp;YEAR('A1 (FF1 Inputs)'!$E$12)</f>
        <v>Feb-2020</v>
      </c>
      <c r="C65" s="130">
        <f>EOMONTH(C63,1)</f>
        <v>43890</v>
      </c>
      <c r="D65" s="1">
        <f>_xlfn.DAYS(C65,C64)</f>
        <v>29</v>
      </c>
      <c r="E65" s="1">
        <f t="shared" si="27"/>
        <v>307</v>
      </c>
      <c r="F65" s="1">
        <f t="shared" ref="F65:F75" si="29">SUM($D$14:$D$25)</f>
        <v>366</v>
      </c>
      <c r="G65" s="110">
        <f t="shared" ref="G65:G75" si="30">E65/F65</f>
        <v>0.83879781420765032</v>
      </c>
      <c r="J65" s="37">
        <v>0</v>
      </c>
      <c r="M65" s="41">
        <v>-2205.8487496342277</v>
      </c>
      <c r="N65" s="41">
        <f t="shared" ref="N65:N75" si="31">M65-J65</f>
        <v>-2205.8487496342277</v>
      </c>
      <c r="O65" s="41">
        <f t="shared" ref="O65:O75" si="32">IF(AND(J65&gt;=0,M65&gt;=0),IF(N65&gt;=0,N65,0),IF(AND(J65&lt;0,M65&lt;0),IF(N65&lt;0,N65,0),0))</f>
        <v>0</v>
      </c>
      <c r="P65" s="139">
        <f t="shared" ref="P65:P75" si="33">IF(AND(J65&gt;=0,M65&gt;=0),IF(O65&gt;0,0,IF(M65&lt;0,0,(-(N65)*(E65/F65)))),IF(AND(J65&lt;0,M65&lt;0),IF(O65&lt;0,0,IF(M65&gt;0,0,(-(N65)*(E65/F65)))),0))</f>
        <v>0</v>
      </c>
      <c r="Q65" s="41">
        <f t="shared" ref="Q65:Q75" si="34">IF(AND(J65&gt;=0,M65&lt;0),M65,IF(AND(J65&lt;0,M65&gt;0),M65,0))</f>
        <v>-2205.8487496342277</v>
      </c>
      <c r="R65" s="41">
        <f t="shared" ref="R65:R75" si="35">IF(J65=0,R64+M65,IF((M65*J65)&lt;0,R64+Q65,R64+J65+O65-P65))</f>
        <v>-334904.21837873961</v>
      </c>
    </row>
    <row r="66" spans="1:18" x14ac:dyDescent="0.25">
      <c r="A66" s="1">
        <f t="shared" si="28"/>
        <v>42</v>
      </c>
      <c r="B66" s="112" t="str">
        <f>"Mar-"&amp;YEAR('A1 (FF1 Inputs)'!$E$12)</f>
        <v>Mar-2020</v>
      </c>
      <c r="C66" s="130">
        <f>EOMONTH(C63,2)</f>
        <v>43921</v>
      </c>
      <c r="D66" s="1">
        <f t="shared" ref="D66:D75" si="36">_xlfn.DAYS(C66,C65)</f>
        <v>31</v>
      </c>
      <c r="E66" s="1">
        <f t="shared" si="27"/>
        <v>276</v>
      </c>
      <c r="F66" s="1">
        <f t="shared" si="29"/>
        <v>366</v>
      </c>
      <c r="G66" s="110">
        <f t="shared" si="30"/>
        <v>0.75409836065573765</v>
      </c>
      <c r="J66" s="37">
        <v>0</v>
      </c>
      <c r="M66" s="41">
        <v>-2205.8487496342859</v>
      </c>
      <c r="N66" s="41">
        <f t="shared" si="31"/>
        <v>-2205.8487496342859</v>
      </c>
      <c r="O66" s="41">
        <f t="shared" si="32"/>
        <v>0</v>
      </c>
      <c r="P66" s="139">
        <f t="shared" si="33"/>
        <v>0</v>
      </c>
      <c r="Q66" s="41">
        <f t="shared" si="34"/>
        <v>-2205.8487496342859</v>
      </c>
      <c r="R66" s="41">
        <f t="shared" si="35"/>
        <v>-337110.06712837389</v>
      </c>
    </row>
    <row r="67" spans="1:18" x14ac:dyDescent="0.25">
      <c r="A67" s="1">
        <f t="shared" si="28"/>
        <v>43</v>
      </c>
      <c r="B67" s="112" t="str">
        <f>"Apr-"&amp;YEAR('A1 (FF1 Inputs)'!$E$12)</f>
        <v>Apr-2020</v>
      </c>
      <c r="C67" s="130">
        <f>EOMONTH(C63,3)</f>
        <v>43951</v>
      </c>
      <c r="D67" s="1">
        <f t="shared" si="36"/>
        <v>30</v>
      </c>
      <c r="E67" s="1">
        <f t="shared" si="27"/>
        <v>246</v>
      </c>
      <c r="F67" s="1">
        <f t="shared" si="29"/>
        <v>366</v>
      </c>
      <c r="G67" s="110">
        <f t="shared" si="30"/>
        <v>0.67213114754098358</v>
      </c>
      <c r="J67" s="37">
        <v>0</v>
      </c>
      <c r="M67" s="41">
        <v>-2205.8487496342859</v>
      </c>
      <c r="N67" s="41">
        <f t="shared" si="31"/>
        <v>-2205.8487496342859</v>
      </c>
      <c r="O67" s="41">
        <f t="shared" si="32"/>
        <v>0</v>
      </c>
      <c r="P67" s="139">
        <f t="shared" si="33"/>
        <v>0</v>
      </c>
      <c r="Q67" s="41">
        <f t="shared" si="34"/>
        <v>-2205.8487496342859</v>
      </c>
      <c r="R67" s="41">
        <f t="shared" si="35"/>
        <v>-339315.91587800818</v>
      </c>
    </row>
    <row r="68" spans="1:18" x14ac:dyDescent="0.25">
      <c r="A68" s="1">
        <f t="shared" si="28"/>
        <v>44</v>
      </c>
      <c r="B68" s="112" t="str">
        <f>"May-"&amp;YEAR('A1 (FF1 Inputs)'!$E$12)</f>
        <v>May-2020</v>
      </c>
      <c r="C68" s="130">
        <f>EOMONTH(C63,4)</f>
        <v>43982</v>
      </c>
      <c r="D68" s="1">
        <f t="shared" si="36"/>
        <v>31</v>
      </c>
      <c r="E68" s="1">
        <f t="shared" si="27"/>
        <v>215</v>
      </c>
      <c r="F68" s="1">
        <f t="shared" si="29"/>
        <v>366</v>
      </c>
      <c r="G68" s="110">
        <f t="shared" si="30"/>
        <v>0.58743169398907102</v>
      </c>
      <c r="J68" s="37">
        <v>0</v>
      </c>
      <c r="M68" s="41">
        <v>-2205.8487496342277</v>
      </c>
      <c r="N68" s="41">
        <f t="shared" si="31"/>
        <v>-2205.8487496342277</v>
      </c>
      <c r="O68" s="41">
        <f t="shared" si="32"/>
        <v>0</v>
      </c>
      <c r="P68" s="139">
        <f t="shared" si="33"/>
        <v>0</v>
      </c>
      <c r="Q68" s="41">
        <f t="shared" si="34"/>
        <v>-2205.8487496342277</v>
      </c>
      <c r="R68" s="41">
        <f t="shared" si="35"/>
        <v>-341521.76462764241</v>
      </c>
    </row>
    <row r="69" spans="1:18" x14ac:dyDescent="0.25">
      <c r="A69" s="1">
        <f t="shared" si="28"/>
        <v>45</v>
      </c>
      <c r="B69" s="112" t="str">
        <f>"Jun-"&amp;YEAR('A1 (FF1 Inputs)'!$E$12)</f>
        <v>Jun-2020</v>
      </c>
      <c r="C69" s="130">
        <f>EOMONTH(C63,5)</f>
        <v>44012</v>
      </c>
      <c r="D69" s="1">
        <f t="shared" si="36"/>
        <v>30</v>
      </c>
      <c r="E69" s="1">
        <f t="shared" si="27"/>
        <v>185</v>
      </c>
      <c r="F69" s="1">
        <f t="shared" si="29"/>
        <v>366</v>
      </c>
      <c r="G69" s="110">
        <f t="shared" si="30"/>
        <v>0.50546448087431695</v>
      </c>
      <c r="J69" s="37">
        <v>0</v>
      </c>
      <c r="M69" s="41">
        <v>-2205.8487496342859</v>
      </c>
      <c r="N69" s="41">
        <f t="shared" si="31"/>
        <v>-2205.8487496342859</v>
      </c>
      <c r="O69" s="41">
        <f t="shared" si="32"/>
        <v>0</v>
      </c>
      <c r="P69" s="139">
        <f t="shared" si="33"/>
        <v>0</v>
      </c>
      <c r="Q69" s="41">
        <f t="shared" si="34"/>
        <v>-2205.8487496342859</v>
      </c>
      <c r="R69" s="41">
        <f t="shared" si="35"/>
        <v>-343727.61337727669</v>
      </c>
    </row>
    <row r="70" spans="1:18" x14ac:dyDescent="0.25">
      <c r="A70" s="1">
        <f t="shared" si="28"/>
        <v>46</v>
      </c>
      <c r="B70" s="112" t="str">
        <f>"Jul-"&amp;YEAR('A1 (FF1 Inputs)'!$E$12)</f>
        <v>Jul-2020</v>
      </c>
      <c r="C70" s="130">
        <f>EOMONTH(C63,6)</f>
        <v>44043</v>
      </c>
      <c r="D70" s="1">
        <f t="shared" si="36"/>
        <v>31</v>
      </c>
      <c r="E70" s="1">
        <f t="shared" si="27"/>
        <v>154</v>
      </c>
      <c r="F70" s="1">
        <f t="shared" si="29"/>
        <v>366</v>
      </c>
      <c r="G70" s="110">
        <f t="shared" si="30"/>
        <v>0.42076502732240439</v>
      </c>
      <c r="J70" s="37">
        <v>0</v>
      </c>
      <c r="M70" s="41">
        <v>-2205.8487496342859</v>
      </c>
      <c r="N70" s="41">
        <f t="shared" si="31"/>
        <v>-2205.8487496342859</v>
      </c>
      <c r="O70" s="41">
        <f t="shared" si="32"/>
        <v>0</v>
      </c>
      <c r="P70" s="139">
        <f t="shared" si="33"/>
        <v>0</v>
      </c>
      <c r="Q70" s="41">
        <f t="shared" si="34"/>
        <v>-2205.8487496342859</v>
      </c>
      <c r="R70" s="41">
        <f t="shared" si="35"/>
        <v>-345933.46212691098</v>
      </c>
    </row>
    <row r="71" spans="1:18" x14ac:dyDescent="0.25">
      <c r="A71" s="1">
        <f t="shared" si="28"/>
        <v>47</v>
      </c>
      <c r="B71" s="112" t="str">
        <f>"Aug-"&amp;YEAR('A1 (FF1 Inputs)'!$E$12)</f>
        <v>Aug-2020</v>
      </c>
      <c r="C71" s="130">
        <f>EOMONTH(C63,7)</f>
        <v>44074</v>
      </c>
      <c r="D71" s="1">
        <f t="shared" si="36"/>
        <v>31</v>
      </c>
      <c r="E71" s="1">
        <f t="shared" si="27"/>
        <v>123</v>
      </c>
      <c r="F71" s="1">
        <f t="shared" si="29"/>
        <v>366</v>
      </c>
      <c r="G71" s="110">
        <f t="shared" si="30"/>
        <v>0.33606557377049179</v>
      </c>
      <c r="J71" s="37">
        <v>0</v>
      </c>
      <c r="M71" s="41">
        <v>-2205.8487496342277</v>
      </c>
      <c r="N71" s="41">
        <f t="shared" si="31"/>
        <v>-2205.8487496342277</v>
      </c>
      <c r="O71" s="41">
        <f t="shared" si="32"/>
        <v>0</v>
      </c>
      <c r="P71" s="139">
        <f t="shared" si="33"/>
        <v>0</v>
      </c>
      <c r="Q71" s="41">
        <f t="shared" si="34"/>
        <v>-2205.8487496342277</v>
      </c>
      <c r="R71" s="41">
        <f t="shared" si="35"/>
        <v>-348139.31087654521</v>
      </c>
    </row>
    <row r="72" spans="1:18" x14ac:dyDescent="0.25">
      <c r="A72" s="1">
        <f t="shared" si="28"/>
        <v>48</v>
      </c>
      <c r="B72" s="112" t="str">
        <f>"Sep-"&amp;YEAR('A1 (FF1 Inputs)'!$E$12)</f>
        <v>Sep-2020</v>
      </c>
      <c r="C72" s="130">
        <f>EOMONTH(C63,8)</f>
        <v>44104</v>
      </c>
      <c r="D72" s="1">
        <f t="shared" si="36"/>
        <v>30</v>
      </c>
      <c r="E72" s="1">
        <f t="shared" si="27"/>
        <v>93</v>
      </c>
      <c r="F72" s="1">
        <f t="shared" si="29"/>
        <v>366</v>
      </c>
      <c r="G72" s="110">
        <f t="shared" si="30"/>
        <v>0.25409836065573771</v>
      </c>
      <c r="J72" s="37">
        <v>0</v>
      </c>
      <c r="M72" s="41">
        <v>-2205.8487496342859</v>
      </c>
      <c r="N72" s="41">
        <f t="shared" si="31"/>
        <v>-2205.8487496342859</v>
      </c>
      <c r="O72" s="41">
        <f t="shared" si="32"/>
        <v>0</v>
      </c>
      <c r="P72" s="139">
        <f t="shared" si="33"/>
        <v>0</v>
      </c>
      <c r="Q72" s="41">
        <f t="shared" si="34"/>
        <v>-2205.8487496342859</v>
      </c>
      <c r="R72" s="41">
        <f t="shared" si="35"/>
        <v>-350345.15962617949</v>
      </c>
    </row>
    <row r="73" spans="1:18" x14ac:dyDescent="0.25">
      <c r="A73" s="1">
        <f t="shared" si="28"/>
        <v>49</v>
      </c>
      <c r="B73" s="112" t="str">
        <f>"Oct-"&amp;YEAR('A1 (FF1 Inputs)'!$E$12)</f>
        <v>Oct-2020</v>
      </c>
      <c r="C73" s="130">
        <f>EOMONTH(C63,9)</f>
        <v>44135</v>
      </c>
      <c r="D73" s="1">
        <f t="shared" si="36"/>
        <v>31</v>
      </c>
      <c r="E73" s="1">
        <f t="shared" si="27"/>
        <v>62</v>
      </c>
      <c r="F73" s="1">
        <f t="shared" si="29"/>
        <v>366</v>
      </c>
      <c r="G73" s="110">
        <f t="shared" si="30"/>
        <v>0.16939890710382513</v>
      </c>
      <c r="J73" s="37">
        <v>0</v>
      </c>
      <c r="M73" s="41">
        <v>-2205.8487496342859</v>
      </c>
      <c r="N73" s="41">
        <f t="shared" si="31"/>
        <v>-2205.8487496342859</v>
      </c>
      <c r="O73" s="41">
        <f t="shared" si="32"/>
        <v>0</v>
      </c>
      <c r="P73" s="139">
        <f t="shared" si="33"/>
        <v>0</v>
      </c>
      <c r="Q73" s="41">
        <f t="shared" si="34"/>
        <v>-2205.8487496342859</v>
      </c>
      <c r="R73" s="41">
        <f t="shared" si="35"/>
        <v>-352551.00837581378</v>
      </c>
    </row>
    <row r="74" spans="1:18" x14ac:dyDescent="0.25">
      <c r="A74" s="1">
        <f t="shared" si="28"/>
        <v>50</v>
      </c>
      <c r="B74" s="112" t="str">
        <f>"Nov-"&amp;YEAR('A1 (FF1 Inputs)'!$E$12)</f>
        <v>Nov-2020</v>
      </c>
      <c r="C74" s="130">
        <f>EOMONTH(C63,10)</f>
        <v>44165</v>
      </c>
      <c r="D74" s="1">
        <f t="shared" si="36"/>
        <v>30</v>
      </c>
      <c r="E74" s="1">
        <f>D75+E75</f>
        <v>32</v>
      </c>
      <c r="F74" s="1">
        <f t="shared" si="29"/>
        <v>366</v>
      </c>
      <c r="G74" s="110">
        <f t="shared" si="30"/>
        <v>8.7431693989071038E-2</v>
      </c>
      <c r="J74" s="37">
        <v>0</v>
      </c>
      <c r="M74" s="41">
        <v>-2205.8487496342859</v>
      </c>
      <c r="N74" s="41">
        <f t="shared" si="31"/>
        <v>-2205.8487496342859</v>
      </c>
      <c r="O74" s="41">
        <f t="shared" si="32"/>
        <v>0</v>
      </c>
      <c r="P74" s="139">
        <f t="shared" si="33"/>
        <v>0</v>
      </c>
      <c r="Q74" s="41">
        <f t="shared" si="34"/>
        <v>-2205.8487496342859</v>
      </c>
      <c r="R74" s="41">
        <f t="shared" si="35"/>
        <v>-354756.85712544806</v>
      </c>
    </row>
    <row r="75" spans="1:18" x14ac:dyDescent="0.25">
      <c r="A75" s="1">
        <f t="shared" si="28"/>
        <v>51</v>
      </c>
      <c r="B75" s="112" t="str">
        <f>"Dec-"&amp;YEAR('A1 (FF1 Inputs)'!$E$12)</f>
        <v>Dec-2020</v>
      </c>
      <c r="C75" s="130">
        <f>EOMONTH(C63,11)</f>
        <v>44196</v>
      </c>
      <c r="D75" s="1">
        <f t="shared" si="36"/>
        <v>31</v>
      </c>
      <c r="E75" s="1">
        <v>1</v>
      </c>
      <c r="F75" s="1">
        <f t="shared" si="29"/>
        <v>366</v>
      </c>
      <c r="G75" s="110">
        <f t="shared" si="30"/>
        <v>2.7322404371584699E-3</v>
      </c>
      <c r="J75" s="37">
        <v>0</v>
      </c>
      <c r="M75" s="41">
        <v>-2205.8487496345188</v>
      </c>
      <c r="N75" s="41">
        <f t="shared" si="31"/>
        <v>-2205.8487496345188</v>
      </c>
      <c r="O75" s="41">
        <f t="shared" si="32"/>
        <v>0</v>
      </c>
      <c r="P75" s="139">
        <f t="shared" si="33"/>
        <v>0</v>
      </c>
      <c r="Q75" s="41">
        <f t="shared" si="34"/>
        <v>-2205.8487496345188</v>
      </c>
      <c r="R75" s="41">
        <f t="shared" si="35"/>
        <v>-356962.70587508258</v>
      </c>
    </row>
    <row r="76" spans="1:18" x14ac:dyDescent="0.25">
      <c r="A76" s="88">
        <f t="shared" si="28"/>
        <v>52</v>
      </c>
      <c r="B76" s="89" t="str">
        <f>"Total (Sum Lns. ("&amp;A63&amp;" through "&amp;A75&amp;"))"</f>
        <v>Total (Sum Lns. (39 through 51))</v>
      </c>
      <c r="C76" s="88"/>
      <c r="D76" s="89"/>
      <c r="E76" s="89"/>
      <c r="F76" s="89"/>
      <c r="G76" s="89"/>
      <c r="H76" s="89"/>
      <c r="I76" s="89"/>
      <c r="J76" s="90">
        <f>SUM(J64:J75)</f>
        <v>0</v>
      </c>
      <c r="K76" s="89"/>
      <c r="L76" s="89"/>
      <c r="M76" s="90">
        <f>SUM(M64:M75)</f>
        <v>-26470.184995611489</v>
      </c>
      <c r="N76" s="90">
        <f t="shared" ref="N76" si="37">SUM(N64:N75)</f>
        <v>-26470.184995611489</v>
      </c>
      <c r="O76" s="90">
        <f t="shared" ref="O76" si="38">SUM(O64:O75)</f>
        <v>0</v>
      </c>
      <c r="P76" s="90">
        <f t="shared" ref="P76" si="39">SUM(P64:P75)</f>
        <v>0</v>
      </c>
      <c r="Q76" s="90">
        <f t="shared" ref="Q76" si="40">SUM(Q64:Q75)</f>
        <v>-26470.184995611489</v>
      </c>
      <c r="R76" s="89"/>
    </row>
    <row r="78" spans="1:18" x14ac:dyDescent="0.25">
      <c r="B78" s="132" t="s">
        <v>801</v>
      </c>
    </row>
    <row r="79" spans="1:18" x14ac:dyDescent="0.25">
      <c r="A79" s="1">
        <f>A76+1</f>
        <v>53</v>
      </c>
      <c r="B79" s="127" t="str">
        <f>"Beginning of Year Balance ("&amp;'A8 (ADIT Balances)'!$AF$1&amp;", Ln. "&amp;'A8 (ADIT Balances)'!$A$81&amp;", Col. [q])"</f>
        <v>Beginning of Year Balance (Worksheet A8, Ln. 12, Col. [q])</v>
      </c>
      <c r="R79" s="10">
        <f>'A8 (ADIT Balances)'!R81</f>
        <v>0</v>
      </c>
    </row>
    <row r="80" spans="1:18" x14ac:dyDescent="0.25">
      <c r="A80" s="1">
        <f>A79+1</f>
        <v>54</v>
      </c>
      <c r="B80" s="127" t="str">
        <f>"End of Year Balance ("&amp;'A8 (ADIT Balances)'!$AF$1&amp;", Ln. "&amp;'A8 (ADIT Balances)'!$A$81&amp;", Col. [cc])"</f>
        <v>End of Year Balance (Worksheet A8, Ln. 12, Col. [cc])</v>
      </c>
      <c r="R80" s="64">
        <f>'A8 (ADIT Balances)'!AD81</f>
        <v>0</v>
      </c>
    </row>
    <row r="81" spans="1:19" x14ac:dyDescent="0.25">
      <c r="A81" s="1">
        <f t="shared" ref="A81" si="41">A80+1</f>
        <v>55</v>
      </c>
      <c r="B81" s="127" t="str">
        <f>"Average of Beginning of Year and End of Year Balances (Average Lns. "&amp;A79&amp;" and "&amp;A80&amp;")"</f>
        <v>Average of Beginning of Year and End of Year Balances (Average Lns. 53 and 54)</v>
      </c>
      <c r="R81" s="10">
        <f>AVERAGE(R79,R80)</f>
        <v>0</v>
      </c>
    </row>
    <row r="82" spans="1:19" x14ac:dyDescent="0.25">
      <c r="B82" s="132"/>
    </row>
    <row r="83" spans="1:19" x14ac:dyDescent="0.25">
      <c r="A83" s="1">
        <f>A81+1</f>
        <v>56</v>
      </c>
      <c r="B83" s="127" t="str">
        <f>"Total Account No. 283 - Prorated Balance at End of Year (Ln. "&amp;A75&amp;", Col. "&amp;$R$9&amp;")"</f>
        <v>Total Account No. 283 - Prorated Balance at End of Year (Ln. 51, Col. [l])</v>
      </c>
      <c r="R83" s="10">
        <f>R75</f>
        <v>-356962.70587508258</v>
      </c>
    </row>
    <row r="84" spans="1:19" x14ac:dyDescent="0.25">
      <c r="B84" s="127"/>
    </row>
    <row r="85" spans="1:19" ht="16.5" thickBot="1" x14ac:dyDescent="0.3">
      <c r="A85" s="1">
        <f>A83+1</f>
        <v>57</v>
      </c>
      <c r="B85" s="127" t="str">
        <f>"Total Average Account No. 283 Balance (Lns. ("&amp;A81&amp;" + "&amp;A83&amp;"))"</f>
        <v>Total Average Account No. 283 Balance (Lns. (55 + 56))</v>
      </c>
      <c r="R85" s="133">
        <f>R81+R83</f>
        <v>-356962.70587508258</v>
      </c>
    </row>
    <row r="87" spans="1:19" ht="16.5" thickBot="1" x14ac:dyDescent="0.3">
      <c r="A87" s="136">
        <f>A85+1</f>
        <v>58</v>
      </c>
      <c r="B87" s="137" t="str">
        <f>"Total Average Actual ADIT for Network Transmission (Lns. ("&amp;A26&amp;" + "&amp;A51&amp;" + "&amp;A76&amp;"))"</f>
        <v>Total Average Actual ADIT for Network Transmission (Lns. (14 + 33 + 52))</v>
      </c>
      <c r="C87" s="136"/>
      <c r="D87" s="137"/>
      <c r="E87" s="137"/>
      <c r="F87" s="137"/>
      <c r="G87" s="137"/>
      <c r="H87" s="137"/>
      <c r="I87" s="137"/>
      <c r="J87" s="137"/>
      <c r="K87" s="137"/>
      <c r="L87" s="137"/>
      <c r="M87" s="137"/>
      <c r="N87" s="137"/>
      <c r="O87" s="137"/>
      <c r="P87" s="137"/>
      <c r="Q87" s="137"/>
      <c r="R87" s="138">
        <f>R35+R60+R85</f>
        <v>-48494711.705363512</v>
      </c>
    </row>
    <row r="89" spans="1:19" x14ac:dyDescent="0.25">
      <c r="A89" s="89" t="s">
        <v>893</v>
      </c>
      <c r="B89" s="50"/>
      <c r="C89" s="49"/>
      <c r="D89" s="50"/>
      <c r="E89" s="50"/>
      <c r="F89" s="50"/>
      <c r="G89" s="50"/>
      <c r="H89" s="50"/>
      <c r="I89" s="50"/>
      <c r="J89" s="50"/>
      <c r="K89" s="50"/>
      <c r="L89" s="50"/>
      <c r="M89" s="50"/>
      <c r="N89" s="50"/>
      <c r="O89" s="50"/>
      <c r="P89" s="50"/>
      <c r="Q89" s="50"/>
      <c r="R89" s="50"/>
    </row>
    <row r="90" spans="1:19" x14ac:dyDescent="0.25">
      <c r="A90" s="1">
        <f>A87+1</f>
        <v>59</v>
      </c>
      <c r="B90" s="112" t="str">
        <f>"Dec-"&amp;YEAR('A1 (FF1 Inputs)'!$E$12)-1&amp;" ("&amp;'A9 (Excess and Deficient DIT)'!AI1&amp;", Ln. "&amp;'A9 (Excess and Deficient DIT)'!A23&amp;", Col. [q])"</f>
        <v>Dec-2019 (Worksheet A9, Ln. 3, Col. [q])</v>
      </c>
      <c r="C90" s="130">
        <f>'A1 (FF1 Inputs)'!$E$12</f>
        <v>43831</v>
      </c>
      <c r="R90" s="10">
        <f>'A9 (Excess and Deficient DIT)'!R23</f>
        <v>-31246663.507954709</v>
      </c>
    </row>
    <row r="91" spans="1:19" x14ac:dyDescent="0.25">
      <c r="A91" s="1">
        <f>A90+1</f>
        <v>60</v>
      </c>
      <c r="B91" s="112" t="str">
        <f>"Jan-"&amp;YEAR('A1 (FF1 Inputs)'!$E$12)</f>
        <v>Jan-2020</v>
      </c>
      <c r="C91" s="130">
        <f>EOMONTH(C90,0)</f>
        <v>43861</v>
      </c>
      <c r="D91" s="1">
        <f>_xlfn.DAYS(C91,C90-1)</f>
        <v>31</v>
      </c>
      <c r="E91" s="1">
        <f t="shared" ref="E91:E100" si="42">D92+E92</f>
        <v>336</v>
      </c>
      <c r="F91" s="1">
        <f>SUM($D$14:$D$25)</f>
        <v>366</v>
      </c>
      <c r="G91" s="110">
        <f>E91/F91</f>
        <v>0.91803278688524592</v>
      </c>
      <c r="J91" s="37">
        <v>0</v>
      </c>
      <c r="M91" s="41">
        <f t="array" ref="M91:M102">TRANSPOSE('A9 (Excess and Deficient DIT)'!S24:AD24)</f>
        <v>3339.0636498108506</v>
      </c>
      <c r="N91" s="41">
        <f>M91-J91</f>
        <v>3339.0636498108506</v>
      </c>
      <c r="O91" s="41">
        <f>IF(AND(J91&gt;=0,M91&gt;=0),IF(N91&gt;=0,N91,0),IF(AND(J91&lt;0,M91&lt;0),IF(N91&lt;0,N91,0),0))</f>
        <v>3339.0636498108506</v>
      </c>
      <c r="P91" s="139">
        <f>IF(AND(J91&gt;=0,M91&gt;=0),IF(O91&gt;0,0,IF(M91&lt;0,0,(-(N91)*(E91/F91)))),IF(AND(J91&lt;0,M91&lt;0),IF(O91&lt;0,0,IF(M91&gt;0,0,(-(N91)*(E91/F91)))),0))</f>
        <v>0</v>
      </c>
      <c r="Q91" s="41">
        <f>IF(AND(J91&gt;=0,M91&lt;0),M91,IF(AND(J91&lt;0,M91&gt;0),M91,0))</f>
        <v>0</v>
      </c>
      <c r="R91" s="41">
        <f>IF(J91=0,R90+M91,IF((M91*J91)&lt;0,R90+Q91,R90+J91+O91-P91))</f>
        <v>-31243324.444304898</v>
      </c>
      <c r="S91" s="10"/>
    </row>
    <row r="92" spans="1:19" x14ac:dyDescent="0.25">
      <c r="A92" s="1">
        <f t="shared" ref="A92:A103" si="43">A91+1</f>
        <v>61</v>
      </c>
      <c r="B92" s="112" t="str">
        <f>"Feb-"&amp;YEAR('A1 (FF1 Inputs)'!$E$12)</f>
        <v>Feb-2020</v>
      </c>
      <c r="C92" s="130">
        <f>EOMONTH(C90,1)</f>
        <v>43890</v>
      </c>
      <c r="D92" s="1">
        <f>_xlfn.DAYS(C92,C91)</f>
        <v>29</v>
      </c>
      <c r="E92" s="1">
        <f t="shared" si="42"/>
        <v>307</v>
      </c>
      <c r="F92" s="1">
        <f t="shared" ref="F92:F102" si="44">SUM($D$14:$D$25)</f>
        <v>366</v>
      </c>
      <c r="G92" s="110">
        <f t="shared" ref="G92:G102" si="45">E92/F92</f>
        <v>0.83879781420765032</v>
      </c>
      <c r="J92" s="37">
        <v>0</v>
      </c>
      <c r="M92" s="41">
        <v>3339.0636498145759</v>
      </c>
      <c r="N92" s="41">
        <f t="shared" ref="N92:N102" si="46">M92-J92</f>
        <v>3339.0636498145759</v>
      </c>
      <c r="O92" s="41">
        <f t="shared" ref="O92:O102" si="47">IF(AND(J92&gt;=0,M92&gt;=0),IF(N92&gt;=0,N92,0),IF(AND(J92&lt;0,M92&lt;0),IF(N92&lt;0,N92,0),0))</f>
        <v>3339.0636498145759</v>
      </c>
      <c r="P92" s="139">
        <f t="shared" ref="P92:P102" si="48">IF(AND(J92&gt;=0,M92&gt;=0),IF(O92&gt;0,0,IF(M92&lt;0,0,(-(N92)*(E92/F92)))),IF(AND(J92&lt;0,M92&lt;0),IF(O92&lt;0,0,IF(M92&gt;0,0,(-(N92)*(E92/F92)))),0))</f>
        <v>0</v>
      </c>
      <c r="Q92" s="41">
        <f t="shared" ref="Q92:Q102" si="49">IF(AND(J92&gt;=0,M92&lt;0),M92,IF(AND(J92&lt;0,M92&gt;0),M92,0))</f>
        <v>0</v>
      </c>
      <c r="R92" s="41">
        <f t="shared" ref="R92:R102" si="50">IF(J92=0,R91+M92,IF((M92*J92)&lt;0,R91+Q92,R91+J92+O92-P92))</f>
        <v>-31239985.380655084</v>
      </c>
      <c r="S92" s="10"/>
    </row>
    <row r="93" spans="1:19" x14ac:dyDescent="0.25">
      <c r="A93" s="1">
        <f t="shared" si="43"/>
        <v>62</v>
      </c>
      <c r="B93" s="112" t="str">
        <f>"Mar-"&amp;YEAR('A1 (FF1 Inputs)'!$E$12)</f>
        <v>Mar-2020</v>
      </c>
      <c r="C93" s="130">
        <f>EOMONTH(C90,2)</f>
        <v>43921</v>
      </c>
      <c r="D93" s="1">
        <f t="shared" ref="D93:D102" si="51">_xlfn.DAYS(C93,C92)</f>
        <v>31</v>
      </c>
      <c r="E93" s="1">
        <f t="shared" si="42"/>
        <v>276</v>
      </c>
      <c r="F93" s="1">
        <f t="shared" si="44"/>
        <v>366</v>
      </c>
      <c r="G93" s="110">
        <f t="shared" si="45"/>
        <v>0.75409836065573765</v>
      </c>
      <c r="J93" s="37">
        <v>0</v>
      </c>
      <c r="M93" s="41">
        <v>3339.0636498108506</v>
      </c>
      <c r="N93" s="41">
        <f t="shared" si="46"/>
        <v>3339.0636498108506</v>
      </c>
      <c r="O93" s="41">
        <f t="shared" si="47"/>
        <v>3339.0636498108506</v>
      </c>
      <c r="P93" s="139">
        <f t="shared" si="48"/>
        <v>0</v>
      </c>
      <c r="Q93" s="41">
        <f t="shared" si="49"/>
        <v>0</v>
      </c>
      <c r="R93" s="41">
        <f t="shared" si="50"/>
        <v>-31236646.317005273</v>
      </c>
      <c r="S93" s="10"/>
    </row>
    <row r="94" spans="1:19" x14ac:dyDescent="0.25">
      <c r="A94" s="1">
        <f t="shared" si="43"/>
        <v>63</v>
      </c>
      <c r="B94" s="112" t="str">
        <f>"Apr-"&amp;YEAR('A1 (FF1 Inputs)'!$E$12)</f>
        <v>Apr-2020</v>
      </c>
      <c r="C94" s="130">
        <f>EOMONTH(C90,3)</f>
        <v>43951</v>
      </c>
      <c r="D94" s="1">
        <f t="shared" si="51"/>
        <v>30</v>
      </c>
      <c r="E94" s="1">
        <f t="shared" si="42"/>
        <v>246</v>
      </c>
      <c r="F94" s="1">
        <f t="shared" si="44"/>
        <v>366</v>
      </c>
      <c r="G94" s="110">
        <f t="shared" si="45"/>
        <v>0.67213114754098358</v>
      </c>
      <c r="J94" s="37">
        <v>0</v>
      </c>
      <c r="M94" s="41">
        <v>3339.0636498108506</v>
      </c>
      <c r="N94" s="41">
        <f t="shared" si="46"/>
        <v>3339.0636498108506</v>
      </c>
      <c r="O94" s="41">
        <f t="shared" si="47"/>
        <v>3339.0636498108506</v>
      </c>
      <c r="P94" s="139">
        <f t="shared" si="48"/>
        <v>0</v>
      </c>
      <c r="Q94" s="41">
        <f t="shared" si="49"/>
        <v>0</v>
      </c>
      <c r="R94" s="41">
        <f t="shared" si="50"/>
        <v>-31233307.253355462</v>
      </c>
      <c r="S94" s="10"/>
    </row>
    <row r="95" spans="1:19" x14ac:dyDescent="0.25">
      <c r="A95" s="1">
        <f t="shared" si="43"/>
        <v>64</v>
      </c>
      <c r="B95" s="112" t="str">
        <f>"May-"&amp;YEAR('A1 (FF1 Inputs)'!$E$12)</f>
        <v>May-2020</v>
      </c>
      <c r="C95" s="130">
        <f>EOMONTH(C90,4)</f>
        <v>43982</v>
      </c>
      <c r="D95" s="1">
        <f t="shared" si="51"/>
        <v>31</v>
      </c>
      <c r="E95" s="1">
        <f t="shared" si="42"/>
        <v>215</v>
      </c>
      <c r="F95" s="1">
        <f t="shared" si="44"/>
        <v>366</v>
      </c>
      <c r="G95" s="110">
        <f t="shared" si="45"/>
        <v>0.58743169398907102</v>
      </c>
      <c r="J95" s="37">
        <v>0</v>
      </c>
      <c r="M95" s="41">
        <v>3339.0636498145759</v>
      </c>
      <c r="N95" s="41">
        <f t="shared" si="46"/>
        <v>3339.0636498145759</v>
      </c>
      <c r="O95" s="41">
        <f t="shared" si="47"/>
        <v>3339.0636498145759</v>
      </c>
      <c r="P95" s="139">
        <f t="shared" si="48"/>
        <v>0</v>
      </c>
      <c r="Q95" s="41">
        <f t="shared" si="49"/>
        <v>0</v>
      </c>
      <c r="R95" s="41">
        <f t="shared" si="50"/>
        <v>-31229968.189705648</v>
      </c>
    </row>
    <row r="96" spans="1:19" x14ac:dyDescent="0.25">
      <c r="A96" s="1">
        <f t="shared" si="43"/>
        <v>65</v>
      </c>
      <c r="B96" s="112" t="str">
        <f>"Jun-"&amp;YEAR('A1 (FF1 Inputs)'!$E$12)</f>
        <v>Jun-2020</v>
      </c>
      <c r="C96" s="130">
        <f>EOMONTH(C90,5)</f>
        <v>44012</v>
      </c>
      <c r="D96" s="1">
        <f t="shared" si="51"/>
        <v>30</v>
      </c>
      <c r="E96" s="1">
        <f t="shared" si="42"/>
        <v>185</v>
      </c>
      <c r="F96" s="1">
        <f t="shared" si="44"/>
        <v>366</v>
      </c>
      <c r="G96" s="110">
        <f t="shared" si="45"/>
        <v>0.50546448087431695</v>
      </c>
      <c r="J96" s="37">
        <v>0</v>
      </c>
      <c r="M96" s="41">
        <v>3339.0636498108506</v>
      </c>
      <c r="N96" s="41">
        <f t="shared" si="46"/>
        <v>3339.0636498108506</v>
      </c>
      <c r="O96" s="41">
        <f t="shared" si="47"/>
        <v>3339.0636498108506</v>
      </c>
      <c r="P96" s="139">
        <f t="shared" si="48"/>
        <v>0</v>
      </c>
      <c r="Q96" s="41">
        <f t="shared" si="49"/>
        <v>0</v>
      </c>
      <c r="R96" s="41">
        <f t="shared" si="50"/>
        <v>-31226629.126055837</v>
      </c>
    </row>
    <row r="97" spans="1:18" x14ac:dyDescent="0.25">
      <c r="A97" s="1">
        <f t="shared" si="43"/>
        <v>66</v>
      </c>
      <c r="B97" s="112" t="str">
        <f>"Jul-"&amp;YEAR('A1 (FF1 Inputs)'!$E$12)</f>
        <v>Jul-2020</v>
      </c>
      <c r="C97" s="130">
        <f>EOMONTH(C90,6)</f>
        <v>44043</v>
      </c>
      <c r="D97" s="1">
        <f t="shared" si="51"/>
        <v>31</v>
      </c>
      <c r="E97" s="1">
        <f t="shared" si="42"/>
        <v>154</v>
      </c>
      <c r="F97" s="1">
        <f t="shared" si="44"/>
        <v>366</v>
      </c>
      <c r="G97" s="110">
        <f t="shared" si="45"/>
        <v>0.42076502732240439</v>
      </c>
      <c r="J97" s="37">
        <v>0</v>
      </c>
      <c r="M97" s="41">
        <v>3339.0636498108506</v>
      </c>
      <c r="N97" s="41">
        <f t="shared" si="46"/>
        <v>3339.0636498108506</v>
      </c>
      <c r="O97" s="41">
        <f t="shared" si="47"/>
        <v>3339.0636498108506</v>
      </c>
      <c r="P97" s="139">
        <f t="shared" si="48"/>
        <v>0</v>
      </c>
      <c r="Q97" s="41">
        <f t="shared" si="49"/>
        <v>0</v>
      </c>
      <c r="R97" s="41">
        <f t="shared" si="50"/>
        <v>-31223290.062406026</v>
      </c>
    </row>
    <row r="98" spans="1:18" x14ac:dyDescent="0.25">
      <c r="A98" s="1">
        <f t="shared" si="43"/>
        <v>67</v>
      </c>
      <c r="B98" s="112" t="str">
        <f>"Aug-"&amp;YEAR('A1 (FF1 Inputs)'!$E$12)</f>
        <v>Aug-2020</v>
      </c>
      <c r="C98" s="130">
        <f>EOMONTH(C90,7)</f>
        <v>44074</v>
      </c>
      <c r="D98" s="1">
        <f t="shared" si="51"/>
        <v>31</v>
      </c>
      <c r="E98" s="1">
        <f t="shared" si="42"/>
        <v>123</v>
      </c>
      <c r="F98" s="1">
        <f t="shared" si="44"/>
        <v>366</v>
      </c>
      <c r="G98" s="110">
        <f t="shared" si="45"/>
        <v>0.33606557377049179</v>
      </c>
      <c r="J98" s="37">
        <v>0</v>
      </c>
      <c r="M98" s="41">
        <v>3339.0636498145759</v>
      </c>
      <c r="N98" s="41">
        <f t="shared" si="46"/>
        <v>3339.0636498145759</v>
      </c>
      <c r="O98" s="41">
        <f t="shared" si="47"/>
        <v>3339.0636498145759</v>
      </c>
      <c r="P98" s="139">
        <f t="shared" si="48"/>
        <v>0</v>
      </c>
      <c r="Q98" s="41">
        <f t="shared" si="49"/>
        <v>0</v>
      </c>
      <c r="R98" s="41">
        <f t="shared" si="50"/>
        <v>-31219950.998756211</v>
      </c>
    </row>
    <row r="99" spans="1:18" x14ac:dyDescent="0.25">
      <c r="A99" s="1">
        <f t="shared" si="43"/>
        <v>68</v>
      </c>
      <c r="B99" s="112" t="str">
        <f>"Sep-"&amp;YEAR('A1 (FF1 Inputs)'!$E$12)</f>
        <v>Sep-2020</v>
      </c>
      <c r="C99" s="130">
        <f>EOMONTH(C90,8)</f>
        <v>44104</v>
      </c>
      <c r="D99" s="1">
        <f t="shared" si="51"/>
        <v>30</v>
      </c>
      <c r="E99" s="1">
        <f t="shared" si="42"/>
        <v>93</v>
      </c>
      <c r="F99" s="1">
        <f t="shared" si="44"/>
        <v>366</v>
      </c>
      <c r="G99" s="110">
        <f t="shared" si="45"/>
        <v>0.25409836065573771</v>
      </c>
      <c r="J99" s="37">
        <v>0</v>
      </c>
      <c r="M99" s="41">
        <v>3339.0636498108506</v>
      </c>
      <c r="N99" s="41">
        <f t="shared" si="46"/>
        <v>3339.0636498108506</v>
      </c>
      <c r="O99" s="41">
        <f t="shared" si="47"/>
        <v>3339.0636498108506</v>
      </c>
      <c r="P99" s="139">
        <f t="shared" si="48"/>
        <v>0</v>
      </c>
      <c r="Q99" s="41">
        <f t="shared" si="49"/>
        <v>0</v>
      </c>
      <c r="R99" s="41">
        <f t="shared" si="50"/>
        <v>-31216611.9351064</v>
      </c>
    </row>
    <row r="100" spans="1:18" x14ac:dyDescent="0.25">
      <c r="A100" s="1">
        <f t="shared" si="43"/>
        <v>69</v>
      </c>
      <c r="B100" s="112" t="str">
        <f>"Oct-"&amp;YEAR('A1 (FF1 Inputs)'!$E$12)</f>
        <v>Oct-2020</v>
      </c>
      <c r="C100" s="130">
        <f>EOMONTH(C90,9)</f>
        <v>44135</v>
      </c>
      <c r="D100" s="1">
        <f t="shared" si="51"/>
        <v>31</v>
      </c>
      <c r="E100" s="1">
        <f t="shared" si="42"/>
        <v>62</v>
      </c>
      <c r="F100" s="1">
        <f t="shared" si="44"/>
        <v>366</v>
      </c>
      <c r="G100" s="110">
        <f t="shared" si="45"/>
        <v>0.16939890710382513</v>
      </c>
      <c r="J100" s="37">
        <v>0</v>
      </c>
      <c r="M100" s="41">
        <v>3339.0636498145759</v>
      </c>
      <c r="N100" s="41">
        <f t="shared" si="46"/>
        <v>3339.0636498145759</v>
      </c>
      <c r="O100" s="41">
        <f t="shared" si="47"/>
        <v>3339.0636498145759</v>
      </c>
      <c r="P100" s="139">
        <f t="shared" si="48"/>
        <v>0</v>
      </c>
      <c r="Q100" s="41">
        <f t="shared" si="49"/>
        <v>0</v>
      </c>
      <c r="R100" s="41">
        <f t="shared" si="50"/>
        <v>-31213272.871456586</v>
      </c>
    </row>
    <row r="101" spans="1:18" x14ac:dyDescent="0.25">
      <c r="A101" s="1">
        <f t="shared" si="43"/>
        <v>70</v>
      </c>
      <c r="B101" s="112" t="str">
        <f>"Nov-"&amp;YEAR('A1 (FF1 Inputs)'!$E$12)</f>
        <v>Nov-2020</v>
      </c>
      <c r="C101" s="130">
        <f>EOMONTH(C90,10)</f>
        <v>44165</v>
      </c>
      <c r="D101" s="1">
        <f t="shared" si="51"/>
        <v>30</v>
      </c>
      <c r="E101" s="1">
        <f>D102+E102</f>
        <v>32</v>
      </c>
      <c r="F101" s="1">
        <f t="shared" si="44"/>
        <v>366</v>
      </c>
      <c r="G101" s="110">
        <f t="shared" si="45"/>
        <v>8.7431693989071038E-2</v>
      </c>
      <c r="J101" s="37">
        <v>0</v>
      </c>
      <c r="M101" s="41">
        <v>3339.0636498108506</v>
      </c>
      <c r="N101" s="41">
        <f t="shared" si="46"/>
        <v>3339.0636498108506</v>
      </c>
      <c r="O101" s="41">
        <f t="shared" si="47"/>
        <v>3339.0636498108506</v>
      </c>
      <c r="P101" s="139">
        <f t="shared" si="48"/>
        <v>0</v>
      </c>
      <c r="Q101" s="41">
        <f t="shared" si="49"/>
        <v>0</v>
      </c>
      <c r="R101" s="41">
        <f t="shared" si="50"/>
        <v>-31209933.807806775</v>
      </c>
    </row>
    <row r="102" spans="1:18" x14ac:dyDescent="0.25">
      <c r="A102" s="1">
        <f t="shared" si="43"/>
        <v>71</v>
      </c>
      <c r="B102" s="112" t="str">
        <f>"Dec-"&amp;YEAR('A1 (FF1 Inputs)'!$E$12)</f>
        <v>Dec-2020</v>
      </c>
      <c r="C102" s="130">
        <f>EOMONTH(C90,11)</f>
        <v>44196</v>
      </c>
      <c r="D102" s="1">
        <f t="shared" si="51"/>
        <v>31</v>
      </c>
      <c r="E102" s="1">
        <v>1</v>
      </c>
      <c r="F102" s="1">
        <f t="shared" si="44"/>
        <v>366</v>
      </c>
      <c r="G102" s="110">
        <f t="shared" si="45"/>
        <v>2.7322404371584699E-3</v>
      </c>
      <c r="J102" s="37">
        <v>0</v>
      </c>
      <c r="M102" s="41">
        <v>6678.1272996254265</v>
      </c>
      <c r="N102" s="41">
        <f t="shared" si="46"/>
        <v>6678.1272996254265</v>
      </c>
      <c r="O102" s="41">
        <f t="shared" si="47"/>
        <v>6678.1272996254265</v>
      </c>
      <c r="P102" s="139">
        <f t="shared" si="48"/>
        <v>0</v>
      </c>
      <c r="Q102" s="41">
        <f t="shared" si="49"/>
        <v>0</v>
      </c>
      <c r="R102" s="41">
        <f t="shared" si="50"/>
        <v>-31203255.68050715</v>
      </c>
    </row>
    <row r="103" spans="1:18" x14ac:dyDescent="0.25">
      <c r="A103" s="88">
        <f t="shared" si="43"/>
        <v>72</v>
      </c>
      <c r="B103" s="89" t="str">
        <f>"Total (Sum Lns. ("&amp;A90&amp;" through "&amp;A102&amp;"))"</f>
        <v>Total (Sum Lns. (59 through 71))</v>
      </c>
      <c r="C103" s="88"/>
      <c r="D103" s="89"/>
      <c r="E103" s="89"/>
      <c r="F103" s="89"/>
      <c r="G103" s="89"/>
      <c r="H103" s="89"/>
      <c r="I103" s="89"/>
      <c r="J103" s="90">
        <f>SUM(J91:J102)</f>
        <v>0</v>
      </c>
      <c r="K103" s="89"/>
      <c r="L103" s="89"/>
      <c r="M103" s="90">
        <f>SUM(M91:M102)</f>
        <v>43407.827447559685</v>
      </c>
      <c r="N103" s="90">
        <f t="shared" ref="N103" si="52">SUM(N91:N102)</f>
        <v>43407.827447559685</v>
      </c>
      <c r="O103" s="90">
        <f t="shared" ref="O103" si="53">SUM(O91:O102)</f>
        <v>43407.827447559685</v>
      </c>
      <c r="P103" s="90">
        <f t="shared" ref="P103" si="54">SUM(P91:P102)</f>
        <v>0</v>
      </c>
      <c r="Q103" s="90">
        <f t="shared" ref="Q103" si="55">SUM(Q91:Q102)</f>
        <v>0</v>
      </c>
      <c r="R103" s="89"/>
    </row>
    <row r="105" spans="1:18" x14ac:dyDescent="0.25">
      <c r="B105" s="132" t="s">
        <v>1155</v>
      </c>
    </row>
    <row r="106" spans="1:18" x14ac:dyDescent="0.25">
      <c r="A106" s="1">
        <f>A103+1</f>
        <v>73</v>
      </c>
      <c r="B106" s="127" t="str">
        <f>"Beginning of Year Balance ("&amp;'A9 (Excess and Deficient DIT)'!$AI$1&amp;", Ln. "&amp;'A9 (Excess and Deficient DIT)'!$A$25&amp;", Col. [q])"</f>
        <v>Beginning of Year Balance (Worksheet A9, Ln. 4, Col. [q])</v>
      </c>
      <c r="R106" s="10">
        <f>'A9 (Excess and Deficient DIT)'!R25</f>
        <v>0</v>
      </c>
    </row>
    <row r="107" spans="1:18" x14ac:dyDescent="0.25">
      <c r="A107" s="1">
        <f>A106+1</f>
        <v>74</v>
      </c>
      <c r="B107" s="127" t="str">
        <f>"End of Year Balance ("&amp;'A9 (Excess and Deficient DIT)'!$AI$1&amp;", Ln. "&amp;'A9 (Excess and Deficient DIT)'!$A$25&amp;", Col. [cc])"</f>
        <v>End of Year Balance (Worksheet A9, Ln. 4, Col. [cc])</v>
      </c>
      <c r="R107" s="64">
        <f>'A9 (Excess and Deficient DIT)'!AD25</f>
        <v>0</v>
      </c>
    </row>
    <row r="108" spans="1:18" x14ac:dyDescent="0.25">
      <c r="A108" s="1">
        <f t="shared" ref="A108" si="56">A107+1</f>
        <v>75</v>
      </c>
      <c r="B108" s="127" t="str">
        <f>"Average of Beginning of Year and End of Year Balances (Average Lns. "&amp;A106&amp;" and "&amp;A107&amp;")"</f>
        <v>Average of Beginning of Year and End of Year Balances (Average Lns. 73 and 74)</v>
      </c>
      <c r="R108" s="10">
        <f>AVERAGE(R106,R107)</f>
        <v>0</v>
      </c>
    </row>
    <row r="109" spans="1:18" x14ac:dyDescent="0.25">
      <c r="B109" s="132"/>
    </row>
    <row r="110" spans="1:18" x14ac:dyDescent="0.25">
      <c r="A110" s="1">
        <f>A108+1</f>
        <v>76</v>
      </c>
      <c r="B110" s="127" t="str">
        <f>"Total Excess Deferred Income Taxes - Prorated Balance at End of Year (Ln. "&amp;A102&amp;", Col. "&amp;$R$9&amp;")"</f>
        <v>Total Excess Deferred Income Taxes - Prorated Balance at End of Year (Ln. 71, Col. [l])</v>
      </c>
      <c r="R110" s="10">
        <f>R102</f>
        <v>-31203255.68050715</v>
      </c>
    </row>
    <row r="111" spans="1:18" x14ac:dyDescent="0.25">
      <c r="B111" s="127"/>
    </row>
    <row r="112" spans="1:18" ht="16.5" thickBot="1" x14ac:dyDescent="0.3">
      <c r="A112" s="1">
        <f>A110+1</f>
        <v>77</v>
      </c>
      <c r="B112" s="127" t="str">
        <f>"Total Average Excess Deferred Income Tax Balance (Lns. ("&amp;A108&amp;" + "&amp;A110&amp;"))"</f>
        <v>Total Average Excess Deferred Income Tax Balance (Lns. (75 + 76))</v>
      </c>
      <c r="R112" s="133">
        <f>R108+R110</f>
        <v>-31203255.68050715</v>
      </c>
    </row>
    <row r="114" spans="1:19" x14ac:dyDescent="0.25">
      <c r="A114" s="89" t="s">
        <v>894</v>
      </c>
      <c r="B114" s="50"/>
      <c r="C114" s="49"/>
      <c r="D114" s="50"/>
      <c r="E114" s="50"/>
      <c r="F114" s="50"/>
      <c r="G114" s="50"/>
      <c r="H114" s="50"/>
      <c r="I114" s="50"/>
      <c r="J114" s="50"/>
      <c r="K114" s="50"/>
      <c r="L114" s="50"/>
      <c r="M114" s="50"/>
      <c r="N114" s="50"/>
      <c r="O114" s="50"/>
      <c r="P114" s="50"/>
      <c r="Q114" s="50"/>
      <c r="R114" s="50"/>
    </row>
    <row r="115" spans="1:19" x14ac:dyDescent="0.25">
      <c r="A115" s="1">
        <f>A112+1</f>
        <v>78</v>
      </c>
      <c r="B115" s="112" t="str">
        <f>"Dec-"&amp;YEAR('A1 (FF1 Inputs)'!$E$12)-1&amp;" ("&amp;'A9 (Excess and Deficient DIT)'!AI1&amp;", Ln. "&amp;'A9 (Excess and Deficient DIT)'!A35&amp;", Col. [q])"</f>
        <v>Dec-2019 (Worksheet A9, Ln. 7, Col. [q])</v>
      </c>
      <c r="C115" s="130">
        <f>'A1 (FF1 Inputs)'!$E$12</f>
        <v>43831</v>
      </c>
      <c r="R115" s="10">
        <f>'A9 (Excess and Deficient DIT)'!R35</f>
        <v>2719029.9431980606</v>
      </c>
    </row>
    <row r="116" spans="1:19" x14ac:dyDescent="0.25">
      <c r="A116" s="1">
        <f>A115+1</f>
        <v>79</v>
      </c>
      <c r="B116" s="112" t="str">
        <f>"Jan-"&amp;YEAR('A1 (FF1 Inputs)'!$E$12)</f>
        <v>Jan-2020</v>
      </c>
      <c r="C116" s="130">
        <f>EOMONTH(C115,0)</f>
        <v>43861</v>
      </c>
      <c r="D116" s="1">
        <f>_xlfn.DAYS(C116,C115-1)</f>
        <v>31</v>
      </c>
      <c r="E116" s="1">
        <f t="shared" ref="E116:E125" si="57">D117+E117</f>
        <v>336</v>
      </c>
      <c r="F116" s="1">
        <f>SUM($D$14:$D$25)</f>
        <v>366</v>
      </c>
      <c r="G116" s="110">
        <f>E116/F116</f>
        <v>0.91803278688524592</v>
      </c>
      <c r="J116" s="37">
        <v>0</v>
      </c>
      <c r="M116" s="41">
        <f t="array" ref="M116:M127">TRANSPOSE('A9 (Excess and Deficient DIT)'!S36:AD36)</f>
        <v>-379.43650585412979</v>
      </c>
      <c r="N116" s="41">
        <f>M116-J116</f>
        <v>-379.43650585412979</v>
      </c>
      <c r="O116" s="41">
        <f>IF(AND(J116&gt;=0,M116&gt;=0),IF(N116&gt;=0,N116,0),IF(AND(J116&lt;0,M116&lt;0),IF(N116&lt;0,N116,0),0))</f>
        <v>0</v>
      </c>
      <c r="P116" s="139">
        <f>IF(AND(J116&gt;=0,M116&gt;=0),IF(O116&gt;0,0,IF(M116&lt;0,0,(-(N116)*(E116/F116)))),IF(AND(J116&lt;0,M116&lt;0),IF(O116&lt;0,0,IF(M116&gt;0,0,(-(N116)*(E116/F116)))),0))</f>
        <v>0</v>
      </c>
      <c r="Q116" s="41">
        <f>IF(AND(J116&gt;=0,M116&lt;0),M116,IF(AND(J116&lt;0,M116&gt;0),M116,0))</f>
        <v>-379.43650585412979</v>
      </c>
      <c r="R116" s="41">
        <f>IF(J116=0,R115+M116,IF((M116*J116)&lt;0,R115+Q116,R115+J116+O116-P116))</f>
        <v>2718650.5066922065</v>
      </c>
      <c r="S116" s="10"/>
    </row>
    <row r="117" spans="1:19" x14ac:dyDescent="0.25">
      <c r="A117" s="1">
        <f t="shared" ref="A117:A128" si="58">A116+1</f>
        <v>80</v>
      </c>
      <c r="B117" s="112" t="str">
        <f>"Feb-"&amp;YEAR('A1 (FF1 Inputs)'!$E$12)</f>
        <v>Feb-2020</v>
      </c>
      <c r="C117" s="130">
        <f>EOMONTH(C115,1)</f>
        <v>43890</v>
      </c>
      <c r="D117" s="1">
        <f>_xlfn.DAYS(C117,C116)</f>
        <v>29</v>
      </c>
      <c r="E117" s="1">
        <f t="shared" si="57"/>
        <v>307</v>
      </c>
      <c r="F117" s="1">
        <f t="shared" ref="F117:F127" si="59">SUM($D$14:$D$25)</f>
        <v>366</v>
      </c>
      <c r="G117" s="110">
        <f t="shared" ref="G117:G127" si="60">E117/F117</f>
        <v>0.83879781420765032</v>
      </c>
      <c r="J117" s="37">
        <v>0</v>
      </c>
      <c r="M117" s="41">
        <v>-379.43650585366413</v>
      </c>
      <c r="N117" s="41">
        <f t="shared" ref="N117:N127" si="61">M117-J117</f>
        <v>-379.43650585366413</v>
      </c>
      <c r="O117" s="41">
        <f t="shared" ref="O117:O127" si="62">IF(AND(J117&gt;=0,M117&gt;=0),IF(N117&gt;=0,N117,0),IF(AND(J117&lt;0,M117&lt;0),IF(N117&lt;0,N117,0),0))</f>
        <v>0</v>
      </c>
      <c r="P117" s="139">
        <f t="shared" ref="P117:P127" si="63">IF(AND(J117&gt;=0,M117&gt;=0),IF(O117&gt;0,0,IF(M117&lt;0,0,(-(N117)*(E117/F117)))),IF(AND(J117&lt;0,M117&lt;0),IF(O117&lt;0,0,IF(M117&gt;0,0,(-(N117)*(E117/F117)))),0))</f>
        <v>0</v>
      </c>
      <c r="Q117" s="41">
        <f t="shared" ref="Q117:Q127" si="64">IF(AND(J117&gt;=0,M117&lt;0),M117,IF(AND(J117&lt;0,M117&gt;0),M117,0))</f>
        <v>-379.43650585366413</v>
      </c>
      <c r="R117" s="41">
        <f t="shared" ref="R117:R127" si="65">IF(J117=0,R116+M117,IF((M117*J117)&lt;0,R116+Q117,R116+J117+O117-P117))</f>
        <v>2718271.0701863528</v>
      </c>
      <c r="S117" s="10"/>
    </row>
    <row r="118" spans="1:19" x14ac:dyDescent="0.25">
      <c r="A118" s="1">
        <f t="shared" si="58"/>
        <v>81</v>
      </c>
      <c r="B118" s="112" t="str">
        <f>"Mar-"&amp;YEAR('A1 (FF1 Inputs)'!$E$12)</f>
        <v>Mar-2020</v>
      </c>
      <c r="C118" s="130">
        <f>EOMONTH(C115,2)</f>
        <v>43921</v>
      </c>
      <c r="D118" s="1">
        <f t="shared" ref="D118:D127" si="66">_xlfn.DAYS(C118,C117)</f>
        <v>31</v>
      </c>
      <c r="E118" s="1">
        <f t="shared" si="57"/>
        <v>276</v>
      </c>
      <c r="F118" s="1">
        <f t="shared" si="59"/>
        <v>366</v>
      </c>
      <c r="G118" s="110">
        <f t="shared" si="60"/>
        <v>0.75409836065573765</v>
      </c>
      <c r="J118" s="37">
        <v>0</v>
      </c>
      <c r="M118" s="41">
        <v>-379.43650585366413</v>
      </c>
      <c r="N118" s="41">
        <f t="shared" si="61"/>
        <v>-379.43650585366413</v>
      </c>
      <c r="O118" s="41">
        <f t="shared" si="62"/>
        <v>0</v>
      </c>
      <c r="P118" s="139">
        <f t="shared" si="63"/>
        <v>0</v>
      </c>
      <c r="Q118" s="41">
        <f t="shared" si="64"/>
        <v>-379.43650585366413</v>
      </c>
      <c r="R118" s="41">
        <f t="shared" si="65"/>
        <v>2717891.6336804992</v>
      </c>
      <c r="S118" s="10"/>
    </row>
    <row r="119" spans="1:19" x14ac:dyDescent="0.25">
      <c r="A119" s="1">
        <f t="shared" si="58"/>
        <v>82</v>
      </c>
      <c r="B119" s="112" t="str">
        <f>"Apr-"&amp;YEAR('A1 (FF1 Inputs)'!$E$12)</f>
        <v>Apr-2020</v>
      </c>
      <c r="C119" s="130">
        <f>EOMONTH(C115,3)</f>
        <v>43951</v>
      </c>
      <c r="D119" s="1">
        <f t="shared" si="66"/>
        <v>30</v>
      </c>
      <c r="E119" s="1">
        <f t="shared" si="57"/>
        <v>246</v>
      </c>
      <c r="F119" s="1">
        <f t="shared" si="59"/>
        <v>366</v>
      </c>
      <c r="G119" s="110">
        <f t="shared" si="60"/>
        <v>0.67213114754098358</v>
      </c>
      <c r="J119" s="37">
        <v>0</v>
      </c>
      <c r="M119" s="41">
        <v>-379.43650585412979</v>
      </c>
      <c r="N119" s="41">
        <f t="shared" si="61"/>
        <v>-379.43650585412979</v>
      </c>
      <c r="O119" s="41">
        <f t="shared" si="62"/>
        <v>0</v>
      </c>
      <c r="P119" s="139">
        <f t="shared" si="63"/>
        <v>0</v>
      </c>
      <c r="Q119" s="41">
        <f t="shared" si="64"/>
        <v>-379.43650585412979</v>
      </c>
      <c r="R119" s="41">
        <f t="shared" si="65"/>
        <v>2717512.197174645</v>
      </c>
      <c r="S119" s="10"/>
    </row>
    <row r="120" spans="1:19" x14ac:dyDescent="0.25">
      <c r="A120" s="1">
        <f t="shared" si="58"/>
        <v>83</v>
      </c>
      <c r="B120" s="112" t="str">
        <f>"May-"&amp;YEAR('A1 (FF1 Inputs)'!$E$12)</f>
        <v>May-2020</v>
      </c>
      <c r="C120" s="130">
        <f>EOMONTH(C115,4)</f>
        <v>43982</v>
      </c>
      <c r="D120" s="1">
        <f t="shared" si="66"/>
        <v>31</v>
      </c>
      <c r="E120" s="1">
        <f t="shared" si="57"/>
        <v>215</v>
      </c>
      <c r="F120" s="1">
        <f t="shared" si="59"/>
        <v>366</v>
      </c>
      <c r="G120" s="110">
        <f t="shared" si="60"/>
        <v>0.58743169398907102</v>
      </c>
      <c r="J120" s="37">
        <v>0</v>
      </c>
      <c r="M120" s="41">
        <v>-379.43650585366413</v>
      </c>
      <c r="N120" s="41">
        <f t="shared" si="61"/>
        <v>-379.43650585366413</v>
      </c>
      <c r="O120" s="41">
        <f t="shared" si="62"/>
        <v>0</v>
      </c>
      <c r="P120" s="139">
        <f t="shared" si="63"/>
        <v>0</v>
      </c>
      <c r="Q120" s="41">
        <f t="shared" si="64"/>
        <v>-379.43650585366413</v>
      </c>
      <c r="R120" s="41">
        <f t="shared" si="65"/>
        <v>2717132.7606687914</v>
      </c>
    </row>
    <row r="121" spans="1:19" x14ac:dyDescent="0.25">
      <c r="A121" s="1">
        <f t="shared" si="58"/>
        <v>84</v>
      </c>
      <c r="B121" s="112" t="str">
        <f>"Jun-"&amp;YEAR('A1 (FF1 Inputs)'!$E$12)</f>
        <v>Jun-2020</v>
      </c>
      <c r="C121" s="130">
        <f>EOMONTH(C115,5)</f>
        <v>44012</v>
      </c>
      <c r="D121" s="1">
        <f t="shared" si="66"/>
        <v>30</v>
      </c>
      <c r="E121" s="1">
        <f t="shared" si="57"/>
        <v>185</v>
      </c>
      <c r="F121" s="1">
        <f t="shared" si="59"/>
        <v>366</v>
      </c>
      <c r="G121" s="110">
        <f t="shared" si="60"/>
        <v>0.50546448087431695</v>
      </c>
      <c r="J121" s="37">
        <v>0</v>
      </c>
      <c r="M121" s="41">
        <v>-379.43650585366413</v>
      </c>
      <c r="N121" s="41">
        <f t="shared" si="61"/>
        <v>-379.43650585366413</v>
      </c>
      <c r="O121" s="41">
        <f t="shared" si="62"/>
        <v>0</v>
      </c>
      <c r="P121" s="139">
        <f t="shared" si="63"/>
        <v>0</v>
      </c>
      <c r="Q121" s="41">
        <f t="shared" si="64"/>
        <v>-379.43650585366413</v>
      </c>
      <c r="R121" s="41">
        <f t="shared" si="65"/>
        <v>2716753.3241629377</v>
      </c>
    </row>
    <row r="122" spans="1:19" x14ac:dyDescent="0.25">
      <c r="A122" s="1">
        <f t="shared" si="58"/>
        <v>85</v>
      </c>
      <c r="B122" s="112" t="str">
        <f>"Jul-"&amp;YEAR('A1 (FF1 Inputs)'!$E$12)</f>
        <v>Jul-2020</v>
      </c>
      <c r="C122" s="130">
        <f>EOMONTH(C115,6)</f>
        <v>44043</v>
      </c>
      <c r="D122" s="1">
        <f t="shared" si="66"/>
        <v>31</v>
      </c>
      <c r="E122" s="1">
        <f t="shared" si="57"/>
        <v>154</v>
      </c>
      <c r="F122" s="1">
        <f t="shared" si="59"/>
        <v>366</v>
      </c>
      <c r="G122" s="110">
        <f t="shared" si="60"/>
        <v>0.42076502732240439</v>
      </c>
      <c r="J122" s="37">
        <v>0</v>
      </c>
      <c r="M122" s="41">
        <v>-379.43650585412979</v>
      </c>
      <c r="N122" s="41">
        <f t="shared" si="61"/>
        <v>-379.43650585412979</v>
      </c>
      <c r="O122" s="41">
        <f t="shared" si="62"/>
        <v>0</v>
      </c>
      <c r="P122" s="139">
        <f t="shared" si="63"/>
        <v>0</v>
      </c>
      <c r="Q122" s="41">
        <f t="shared" si="64"/>
        <v>-379.43650585412979</v>
      </c>
      <c r="R122" s="41">
        <f t="shared" si="65"/>
        <v>2716373.8876570836</v>
      </c>
    </row>
    <row r="123" spans="1:19" x14ac:dyDescent="0.25">
      <c r="A123" s="1">
        <f t="shared" si="58"/>
        <v>86</v>
      </c>
      <c r="B123" s="112" t="str">
        <f>"Aug-"&amp;YEAR('A1 (FF1 Inputs)'!$E$12)</f>
        <v>Aug-2020</v>
      </c>
      <c r="C123" s="130">
        <f>EOMONTH(C115,7)</f>
        <v>44074</v>
      </c>
      <c r="D123" s="1">
        <f t="shared" si="66"/>
        <v>31</v>
      </c>
      <c r="E123" s="1">
        <f t="shared" si="57"/>
        <v>123</v>
      </c>
      <c r="F123" s="1">
        <f t="shared" si="59"/>
        <v>366</v>
      </c>
      <c r="G123" s="110">
        <f t="shared" si="60"/>
        <v>0.33606557377049179</v>
      </c>
      <c r="J123" s="37">
        <v>0</v>
      </c>
      <c r="M123" s="41">
        <v>-379.43650585366413</v>
      </c>
      <c r="N123" s="41">
        <f t="shared" si="61"/>
        <v>-379.43650585366413</v>
      </c>
      <c r="O123" s="41">
        <f t="shared" si="62"/>
        <v>0</v>
      </c>
      <c r="P123" s="139">
        <f t="shared" si="63"/>
        <v>0</v>
      </c>
      <c r="Q123" s="41">
        <f t="shared" si="64"/>
        <v>-379.43650585366413</v>
      </c>
      <c r="R123" s="41">
        <f t="shared" si="65"/>
        <v>2715994.4511512299</v>
      </c>
    </row>
    <row r="124" spans="1:19" x14ac:dyDescent="0.25">
      <c r="A124" s="1">
        <f t="shared" si="58"/>
        <v>87</v>
      </c>
      <c r="B124" s="112" t="str">
        <f>"Sep-"&amp;YEAR('A1 (FF1 Inputs)'!$E$12)</f>
        <v>Sep-2020</v>
      </c>
      <c r="C124" s="130">
        <f>EOMONTH(C115,8)</f>
        <v>44104</v>
      </c>
      <c r="D124" s="1">
        <f t="shared" si="66"/>
        <v>30</v>
      </c>
      <c r="E124" s="1">
        <f t="shared" si="57"/>
        <v>93</v>
      </c>
      <c r="F124" s="1">
        <f t="shared" si="59"/>
        <v>366</v>
      </c>
      <c r="G124" s="110">
        <f t="shared" si="60"/>
        <v>0.25409836065573771</v>
      </c>
      <c r="J124" s="37">
        <v>0</v>
      </c>
      <c r="M124" s="41">
        <v>-379.43650585412979</v>
      </c>
      <c r="N124" s="41">
        <f t="shared" si="61"/>
        <v>-379.43650585412979</v>
      </c>
      <c r="O124" s="41">
        <f t="shared" si="62"/>
        <v>0</v>
      </c>
      <c r="P124" s="139">
        <f t="shared" si="63"/>
        <v>0</v>
      </c>
      <c r="Q124" s="41">
        <f t="shared" si="64"/>
        <v>-379.43650585412979</v>
      </c>
      <c r="R124" s="41">
        <f t="shared" si="65"/>
        <v>2715615.0146453758</v>
      </c>
    </row>
    <row r="125" spans="1:19" x14ac:dyDescent="0.25">
      <c r="A125" s="1">
        <f t="shared" si="58"/>
        <v>88</v>
      </c>
      <c r="B125" s="112" t="str">
        <f>"Oct-"&amp;YEAR('A1 (FF1 Inputs)'!$E$12)</f>
        <v>Oct-2020</v>
      </c>
      <c r="C125" s="130">
        <f>EOMONTH(C115,9)</f>
        <v>44135</v>
      </c>
      <c r="D125" s="1">
        <f t="shared" si="66"/>
        <v>31</v>
      </c>
      <c r="E125" s="1">
        <f t="shared" si="57"/>
        <v>62</v>
      </c>
      <c r="F125" s="1">
        <f t="shared" si="59"/>
        <v>366</v>
      </c>
      <c r="G125" s="110">
        <f t="shared" si="60"/>
        <v>0.16939890710382513</v>
      </c>
      <c r="J125" s="37">
        <v>0</v>
      </c>
      <c r="M125" s="41">
        <v>-379.43650585366413</v>
      </c>
      <c r="N125" s="41">
        <f t="shared" si="61"/>
        <v>-379.43650585366413</v>
      </c>
      <c r="O125" s="41">
        <f t="shared" si="62"/>
        <v>0</v>
      </c>
      <c r="P125" s="139">
        <f t="shared" si="63"/>
        <v>0</v>
      </c>
      <c r="Q125" s="41">
        <f t="shared" si="64"/>
        <v>-379.43650585366413</v>
      </c>
      <c r="R125" s="41">
        <f t="shared" si="65"/>
        <v>2715235.5781395221</v>
      </c>
    </row>
    <row r="126" spans="1:19" x14ac:dyDescent="0.25">
      <c r="A126" s="1">
        <f t="shared" si="58"/>
        <v>89</v>
      </c>
      <c r="B126" s="112" t="str">
        <f>"Nov-"&amp;YEAR('A1 (FF1 Inputs)'!$E$12)</f>
        <v>Nov-2020</v>
      </c>
      <c r="C126" s="130">
        <f>EOMONTH(C115,10)</f>
        <v>44165</v>
      </c>
      <c r="D126" s="1">
        <f t="shared" si="66"/>
        <v>30</v>
      </c>
      <c r="E126" s="1">
        <f>D127+E127</f>
        <v>32</v>
      </c>
      <c r="F126" s="1">
        <f t="shared" si="59"/>
        <v>366</v>
      </c>
      <c r="G126" s="110">
        <f t="shared" si="60"/>
        <v>8.7431693989071038E-2</v>
      </c>
      <c r="J126" s="37">
        <v>0</v>
      </c>
      <c r="M126" s="41">
        <v>-379.43650585366413</v>
      </c>
      <c r="N126" s="41">
        <f t="shared" si="61"/>
        <v>-379.43650585366413</v>
      </c>
      <c r="O126" s="41">
        <f t="shared" si="62"/>
        <v>0</v>
      </c>
      <c r="P126" s="139">
        <f t="shared" si="63"/>
        <v>0</v>
      </c>
      <c r="Q126" s="41">
        <f t="shared" si="64"/>
        <v>-379.43650585366413</v>
      </c>
      <c r="R126" s="41">
        <f t="shared" si="65"/>
        <v>2714856.1416336684</v>
      </c>
    </row>
    <row r="127" spans="1:19" x14ac:dyDescent="0.25">
      <c r="A127" s="1">
        <f t="shared" si="58"/>
        <v>90</v>
      </c>
      <c r="B127" s="112" t="str">
        <f>"Dec-"&amp;YEAR('A1 (FF1 Inputs)'!$E$12)</f>
        <v>Dec-2020</v>
      </c>
      <c r="C127" s="130">
        <f>EOMONTH(C115,11)</f>
        <v>44196</v>
      </c>
      <c r="D127" s="1">
        <f t="shared" si="66"/>
        <v>31</v>
      </c>
      <c r="E127" s="1">
        <v>1</v>
      </c>
      <c r="F127" s="1">
        <f t="shared" si="59"/>
        <v>366</v>
      </c>
      <c r="G127" s="110">
        <f t="shared" si="60"/>
        <v>2.7322404371584699E-3</v>
      </c>
      <c r="J127" s="37">
        <v>0</v>
      </c>
      <c r="M127" s="41">
        <v>-758.87301170779392</v>
      </c>
      <c r="N127" s="41">
        <f t="shared" si="61"/>
        <v>-758.87301170779392</v>
      </c>
      <c r="O127" s="41">
        <f t="shared" si="62"/>
        <v>0</v>
      </c>
      <c r="P127" s="139">
        <f t="shared" si="63"/>
        <v>0</v>
      </c>
      <c r="Q127" s="41">
        <f t="shared" si="64"/>
        <v>-758.87301170779392</v>
      </c>
      <c r="R127" s="41">
        <f t="shared" si="65"/>
        <v>2714097.2686219607</v>
      </c>
    </row>
    <row r="128" spans="1:19" x14ac:dyDescent="0.25">
      <c r="A128" s="88">
        <f t="shared" si="58"/>
        <v>91</v>
      </c>
      <c r="B128" s="89" t="str">
        <f>"Total (Sum Lns. ("&amp;A115&amp;" through "&amp;A127&amp;"))"</f>
        <v>Total (Sum Lns. (78 through 90))</v>
      </c>
      <c r="C128" s="88"/>
      <c r="D128" s="89"/>
      <c r="E128" s="89"/>
      <c r="F128" s="89"/>
      <c r="G128" s="89"/>
      <c r="H128" s="89"/>
      <c r="I128" s="89"/>
      <c r="J128" s="90">
        <f>SUM(J116:J127)</f>
        <v>0</v>
      </c>
      <c r="K128" s="89"/>
      <c r="L128" s="89"/>
      <c r="M128" s="90">
        <f>SUM(M116:M127)</f>
        <v>-4932.674576099962</v>
      </c>
      <c r="N128" s="90">
        <f t="shared" ref="N128" si="67">SUM(N116:N127)</f>
        <v>-4932.674576099962</v>
      </c>
      <c r="O128" s="90">
        <f t="shared" ref="O128" si="68">SUM(O116:O127)</f>
        <v>0</v>
      </c>
      <c r="P128" s="90">
        <f t="shared" ref="P128" si="69">SUM(P116:P127)</f>
        <v>0</v>
      </c>
      <c r="Q128" s="90">
        <f t="shared" ref="Q128" si="70">SUM(Q116:Q127)</f>
        <v>-4932.674576099962</v>
      </c>
      <c r="R128" s="89"/>
    </row>
    <row r="130" spans="1:18" x14ac:dyDescent="0.25">
      <c r="B130" s="132" t="s">
        <v>1157</v>
      </c>
    </row>
    <row r="131" spans="1:18" x14ac:dyDescent="0.25">
      <c r="A131" s="1">
        <f>A128+1</f>
        <v>92</v>
      </c>
      <c r="B131" s="127" t="str">
        <f>"Beginning of Year Balance ("&amp;'A9 (Excess and Deficient DIT)'!$AI$1&amp;", Ln. "&amp;'A9 (Excess and Deficient DIT)'!$A$37&amp;", Col. [q])"</f>
        <v>Beginning of Year Balance (Worksheet A9, Ln. 8, Col. [q])</v>
      </c>
      <c r="R131" s="10">
        <f>'A9 (Excess and Deficient DIT)'!R37</f>
        <v>2982928.6790654943</v>
      </c>
    </row>
    <row r="132" spans="1:18" x14ac:dyDescent="0.25">
      <c r="A132" s="1">
        <f>A131+1</f>
        <v>93</v>
      </c>
      <c r="B132" s="127" t="str">
        <f>"End of Year Balance ("&amp;'A9 (Excess and Deficient DIT)'!$AI$1&amp;", Ln. "&amp;'A9 (Excess and Deficient DIT)'!$A$37&amp;", Col. [cc])"</f>
        <v>End of Year Balance (Worksheet A9, Ln. 8, Col. [cc])</v>
      </c>
      <c r="R132" s="64">
        <f>'A9 (Excess and Deficient DIT)'!AD37</f>
        <v>2982928.6790654943</v>
      </c>
    </row>
    <row r="133" spans="1:18" x14ac:dyDescent="0.25">
      <c r="A133" s="1">
        <f t="shared" ref="A133" si="71">A132+1</f>
        <v>94</v>
      </c>
      <c r="B133" s="127" t="str">
        <f>"Average of Beginning of Year and End of Year Balances (Average Lns. "&amp;A131&amp;" and "&amp;A132&amp;")"</f>
        <v>Average of Beginning of Year and End of Year Balances (Average Lns. 92 and 93)</v>
      </c>
      <c r="R133" s="10">
        <f>AVERAGE(R131,R132)</f>
        <v>2982928.6790654943</v>
      </c>
    </row>
    <row r="134" spans="1:18" x14ac:dyDescent="0.25">
      <c r="B134" s="132"/>
    </row>
    <row r="135" spans="1:18" x14ac:dyDescent="0.25">
      <c r="A135" s="1">
        <f>A133+1</f>
        <v>95</v>
      </c>
      <c r="B135" s="127" t="str">
        <f>"Total Deficient Deferred Income Taxes - Prorated Balance at End of Year (Ln. "&amp;A127&amp;", Col. "&amp;$R$9&amp;")"</f>
        <v>Total Deficient Deferred Income Taxes - Prorated Balance at End of Year (Ln. 90, Col. [l])</v>
      </c>
      <c r="R135" s="10">
        <f>R127</f>
        <v>2714097.2686219607</v>
      </c>
    </row>
    <row r="136" spans="1:18" x14ac:dyDescent="0.25">
      <c r="B136" s="127"/>
    </row>
    <row r="137" spans="1:18" ht="16.5" thickBot="1" x14ac:dyDescent="0.3">
      <c r="A137" s="1">
        <f>A135+1</f>
        <v>96</v>
      </c>
      <c r="B137" s="127" t="str">
        <f>"Total Average Deficient Deferred Income Tax Balance (Lns. ("&amp;A133&amp;" + "&amp;A135&amp;"))"</f>
        <v>Total Average Deficient Deferred Income Tax Balance (Lns. (94 + 95))</v>
      </c>
      <c r="R137" s="133">
        <f>R133+R135</f>
        <v>5697025.9476874545</v>
      </c>
    </row>
    <row r="138" spans="1:18" x14ac:dyDescent="0.25">
      <c r="B138" s="127"/>
      <c r="R138" s="10"/>
    </row>
    <row r="139" spans="1:18" ht="16.5" thickBot="1" x14ac:dyDescent="0.3">
      <c r="A139" s="136">
        <f>A137+1</f>
        <v>97</v>
      </c>
      <c r="B139" s="137" t="str">
        <f>"Total Average Actual Excess/Deficient Deferred Income Taxes for Network Transmission (Lns. ("&amp;A112&amp;" + "&amp;A137&amp;"))"</f>
        <v>Total Average Actual Excess/Deficient Deferred Income Taxes for Network Transmission (Lns. (77 + 96))</v>
      </c>
      <c r="C139" s="136"/>
      <c r="D139" s="137"/>
      <c r="E139" s="137"/>
      <c r="F139" s="137"/>
      <c r="G139" s="137"/>
      <c r="H139" s="137"/>
      <c r="I139" s="137"/>
      <c r="J139" s="137"/>
      <c r="K139" s="137"/>
      <c r="L139" s="137"/>
      <c r="M139" s="137"/>
      <c r="N139" s="137"/>
      <c r="O139" s="137"/>
      <c r="P139" s="137"/>
      <c r="Q139" s="137"/>
      <c r="R139" s="138">
        <f>R112+R137</f>
        <v>-25506229.732819695</v>
      </c>
    </row>
    <row r="140" spans="1:18" ht="5.25" customHeight="1" x14ac:dyDescent="0.25">
      <c r="A140" s="14"/>
      <c r="B140" s="5"/>
      <c r="C140" s="14"/>
      <c r="D140" s="5"/>
      <c r="E140" s="5"/>
      <c r="F140" s="5"/>
      <c r="G140" s="5"/>
      <c r="H140" s="5"/>
      <c r="I140" s="5"/>
      <c r="J140" s="5"/>
      <c r="K140" s="5"/>
      <c r="L140" s="5"/>
      <c r="M140" s="5"/>
      <c r="N140" s="5"/>
      <c r="O140" s="5"/>
      <c r="P140" s="5"/>
      <c r="Q140" s="5"/>
      <c r="R140" s="5"/>
    </row>
    <row r="141" spans="1:18" ht="5.25" customHeight="1" x14ac:dyDescent="0.25"/>
    <row r="142" spans="1:18" x14ac:dyDescent="0.25">
      <c r="A142" s="22" t="str">
        <f>note</f>
        <v>Notes and Sources:</v>
      </c>
    </row>
    <row r="143" spans="1:18" ht="18.75" x14ac:dyDescent="0.25">
      <c r="A143" s="23">
        <v>1</v>
      </c>
      <c r="B143" t="str">
        <f>"Columns [b] through [e] are automatically populated based on the year inputed on "&amp;'A1 (FF1 Inputs)'!E1&amp;", line "&amp;'A1 (FF1 Inputs)'!A12&amp;"."</f>
        <v>Columns [b] through [e] are automatically populated based on the year inputed on Worksheet A1, line 1.</v>
      </c>
    </row>
    <row r="144" spans="1:18" ht="31.5" customHeight="1" x14ac:dyDescent="0.25">
      <c r="A144" s="85">
        <v>2</v>
      </c>
      <c r="B144" s="265" t="str">
        <f>"Prorated projected monthly amounts must be taken directly from the projected rate filing for the year currently being trued-up (pursuant to actual costs)."&amp;" For example, if actual costs are being calculated for the year 2022, the amounts shown in column "&amp;J9&amp;" must be taken from the Company's 2022 rate year projections."</f>
        <v>Prorated projected monthly amounts must be taken directly from the projected rate filing for the year currently being trued-up (pursuant to actual costs). For example, if actual costs are being calculated for the year 2022, the amounts shown in column [f] must be taken from the Company's 2022 rate year projections.</v>
      </c>
      <c r="C144" s="265"/>
      <c r="D144" s="265"/>
      <c r="E144" s="265"/>
      <c r="F144" s="265"/>
      <c r="G144" s="265"/>
      <c r="H144" s="265"/>
      <c r="I144" s="265"/>
      <c r="J144" s="265"/>
      <c r="K144" s="265"/>
      <c r="L144" s="265"/>
      <c r="M144" s="265"/>
      <c r="N144" s="265"/>
      <c r="O144" s="265"/>
      <c r="P144" s="265"/>
      <c r="Q144" s="265"/>
      <c r="R144" s="265"/>
    </row>
    <row r="145" spans="1:18" ht="18.75" x14ac:dyDescent="0.25">
      <c r="A145" s="23">
        <v>3</v>
      </c>
      <c r="B145" s="274" t="str">
        <f>"See "&amp;'A8 (ADIT Balances)'!AF1&amp;", lines "&amp;'A8 (ADIT Balances)'!A42&amp;", "&amp;'A8 (ADIT Balances)'!A59&amp;", "&amp;'A8 (ADIT Balances)'!A79&amp;", columns [q] through [cc] for actual monthly ADIT activity. See "&amp;'A9 (Excess and Deficient DIT)'!AI1&amp;", lines "&amp;'A9 (Excess and Deficient DIT)'!A23&amp;" and "&amp;'A9 (Excess and Deficient DIT)'!A35&amp;", columns [q] through [cc] for actual monthly excess and deficient deferred income tax activity."</f>
        <v>See Worksheet A8, lines 3, 7, 11, columns [q] through [cc] for actual monthly ADIT activity. See Worksheet A9, lines 3 and 7, columns [q] through [cc] for actual monthly excess and deficient deferred income tax activity.</v>
      </c>
      <c r="C145" s="274"/>
      <c r="D145" s="274"/>
      <c r="E145" s="274"/>
      <c r="F145" s="274"/>
      <c r="G145" s="274"/>
      <c r="H145" s="274"/>
      <c r="I145" s="274"/>
      <c r="J145" s="274"/>
      <c r="K145" s="274"/>
      <c r="L145" s="274"/>
      <c r="M145" s="274"/>
      <c r="N145" s="274"/>
      <c r="O145" s="274"/>
      <c r="P145" s="274"/>
      <c r="Q145" s="274"/>
      <c r="R145" s="274"/>
    </row>
    <row r="146" spans="1:18" ht="66.75" customHeight="1" x14ac:dyDescent="0.25">
      <c r="A146" s="85">
        <v>4</v>
      </c>
      <c r="B146" s="274" t="str">
        <f>"Column [h] identifies the difference between actual monthly activity and projected monthly activity."&amp;" If projected and actual monthly activity (Columns "&amp;J9&amp;" and "&amp;M9&amp;", respectively) are both positive, a negative difference represents an over-projection of monthly activity (a portion of projected activity did not actually occur)"&amp;" and a positive difference represents an under-projection of monthly activity (a portion of projected activity was in excess of what actually occurred)."&amp;" If projected and actual monthly activity (Columns "&amp;J9&amp;" and "&amp;M9&amp;", respectively) are both negative, a positive difference represents an over-projection of monthly activity (a portion of projected activity did not actually occur)"&amp;" and a negative difference represents an under-projection of monthly activity (a portion of projected activity was in excess of what actually occurred)."</f>
        <v>Column [h] identifies the difference between actual monthly activity and projected monthly activity. If projected and actual monthly activity (Columns [f] and [g], respectively) are both positive, a negative difference represents an over-projection of monthly activity (a portion of projected activity did not actually occur) and a positive difference represents an under-projection of monthly activity (a portion of projected activity was in excess of what actually occurred). If projected and actual monthly activity (Columns [f] and [g], respectively) are both negative, a positive difference represents an over-projection of monthly activity (a portion of projected activity did not actually occur) and a negative difference represents an under-projection of monthly activity (a portion of projected activity was in excess of what actually occurred).</v>
      </c>
      <c r="C146" s="274"/>
      <c r="D146" s="274"/>
      <c r="E146" s="274"/>
      <c r="F146" s="274"/>
      <c r="G146" s="274"/>
      <c r="H146" s="274"/>
      <c r="I146" s="274"/>
      <c r="J146" s="274"/>
      <c r="K146" s="274"/>
      <c r="L146" s="274"/>
      <c r="M146" s="274"/>
      <c r="N146" s="274"/>
      <c r="O146" s="274"/>
      <c r="P146" s="274"/>
      <c r="Q146" s="274"/>
      <c r="R146" s="274"/>
    </row>
    <row r="147" spans="1:18" ht="18.75" x14ac:dyDescent="0.25">
      <c r="A147" s="23">
        <v>5</v>
      </c>
      <c r="B147" t="str">
        <f>"Column "&amp;O9&amp;" automatically identifies monthly ADIT and excess/deficient deferred income tax activity that is in excess of the originally-projected prorated amounts. This incremental actual activity is not subject to prorationing."</f>
        <v>Column [i] automatically identifies monthly ADIT and excess/deficient deferred income tax activity that is in excess of the originally-projected prorated amounts. This incremental actual activity is not subject to prorationing.</v>
      </c>
    </row>
    <row r="148" spans="1:18" ht="34.5" customHeight="1" x14ac:dyDescent="0.25">
      <c r="A148" s="85">
        <v>6</v>
      </c>
      <c r="B148" s="274" t="str">
        <f>"Column "&amp;P9&amp;" automatically identifies monthly ADIT and excess/deficient deferred income tax activity that is below the originally-projected prorated"&amp;" amounts but still increases the absolute size of the ADIT or excess/deficient deferred income tax balance. This actual activity is subject to prorationing."</f>
        <v>Column [j] automatically identifies monthly ADIT and excess/deficient deferred income tax activity that is below the originally-projected prorated amounts but still increases the absolute size of the ADIT or excess/deficient deferred income tax balance. This actual activity is subject to prorationing.</v>
      </c>
      <c r="C148" s="274"/>
      <c r="D148" s="274"/>
      <c r="E148" s="274"/>
      <c r="F148" s="274"/>
      <c r="G148" s="274"/>
      <c r="H148" s="274"/>
      <c r="I148" s="274"/>
      <c r="J148" s="274"/>
      <c r="K148" s="274"/>
      <c r="L148" s="274"/>
      <c r="M148" s="274"/>
      <c r="N148" s="274"/>
      <c r="O148" s="274"/>
      <c r="P148" s="274"/>
      <c r="Q148" s="274"/>
      <c r="R148" s="274"/>
    </row>
    <row r="149" spans="1:18" ht="36" customHeight="1" x14ac:dyDescent="0.25">
      <c r="A149" s="85">
        <v>7</v>
      </c>
      <c r="B149" s="274" t="str">
        <f>"Column "&amp;Q9&amp;" automatically identifies monthly actual ADIT and excess/deficient deferred activity that is opposite in direction from the originally-projected monthly activity."&amp;" For example, if the originally-projected monthly activity was negative and the actual monthly activity was positive, Column "&amp;Q9&amp;" will automatically populate with the full monthly actual activity."&amp;" This activity is not subject to prorationing."</f>
        <v>Column [k] automatically identifies monthly actual ADIT and excess/deficient deferred activity that is opposite in direction from the originally-projected monthly activity. For example, if the originally-projected monthly activity was negative and the actual monthly activity was positive, Column [k] will automatically populate with the full monthly actual activity. This activity is not subject to prorationing.</v>
      </c>
      <c r="C149" s="274"/>
      <c r="D149" s="274"/>
      <c r="E149" s="274"/>
      <c r="F149" s="274"/>
      <c r="G149" s="274"/>
      <c r="H149" s="274"/>
      <c r="I149" s="274"/>
      <c r="J149" s="274"/>
      <c r="K149" s="274"/>
      <c r="L149" s="274"/>
      <c r="M149" s="274"/>
      <c r="N149" s="274"/>
      <c r="O149" s="274"/>
      <c r="P149" s="274"/>
      <c r="Q149" s="274"/>
      <c r="R149" s="274"/>
    </row>
    <row r="150" spans="1:18" ht="65.25" customHeight="1" x14ac:dyDescent="0.25">
      <c r="A150" s="85">
        <v>8</v>
      </c>
      <c r="B150" s="274" t="str">
        <f>"If the originally-projected monthly activity and the actual monthly activity are in opposite directions (i.e., one is positive and one is negative), then the monthly balance will be calculated by adding the value in Column "&amp;Q9&amp;" to the balance for the prior month."&amp;" If the originally-projected monthly activity and the actual monthly activity are in the same direction (i.e., both are positive or both are negative) then "&amp;" the monthly balance will be calculated by adding the values in Columns "&amp;J9&amp;", "&amp;O9&amp;", and "&amp;P9&amp;" to the balance for the prior month."&amp;" If the originally-projected monthly activity is zero, then the monthly balance will be calculated by adding the actual monthly activity in Column "&amp;M9&amp;" to the balance for the prior month."</f>
        <v>If the originally-projected monthly activity and the actual monthly activity are in opposite directions (i.e., one is positive and one is negative), then the monthly balance will be calculated by adding the value in Column [k] to the balance for the prior month. If the originally-projected monthly activity and the actual monthly activity are in the same direction (i.e., both are positive or both are negative) then  the monthly balance will be calculated by adding the values in Columns [f], [i], and [j] to the balance for the prior month. If the originally-projected monthly activity is zero, then the monthly balance will be calculated by adding the actual monthly activity in Column [g] to the balance for the prior month.</v>
      </c>
      <c r="C150" s="274"/>
      <c r="D150" s="274"/>
      <c r="E150" s="274"/>
      <c r="F150" s="274"/>
      <c r="G150" s="274"/>
      <c r="H150" s="274"/>
      <c r="I150" s="274"/>
      <c r="J150" s="274"/>
      <c r="K150" s="274"/>
      <c r="L150" s="274"/>
      <c r="M150" s="274"/>
      <c r="N150" s="274"/>
      <c r="O150" s="274"/>
      <c r="P150" s="274"/>
      <c r="Q150" s="274"/>
      <c r="R150" s="274"/>
    </row>
    <row r="151" spans="1:18" ht="5.25" customHeight="1" thickBot="1" x14ac:dyDescent="0.3">
      <c r="A151" s="24"/>
      <c r="B151" s="4"/>
      <c r="C151" s="24"/>
      <c r="D151" s="4"/>
      <c r="E151" s="4"/>
      <c r="F151" s="4"/>
      <c r="G151" s="4"/>
      <c r="H151" s="4"/>
      <c r="I151" s="4"/>
      <c r="J151" s="4"/>
      <c r="K151" s="4"/>
      <c r="L151" s="4"/>
      <c r="M151" s="4"/>
      <c r="N151" s="4"/>
      <c r="O151" s="4"/>
      <c r="P151" s="4"/>
      <c r="Q151" s="4"/>
      <c r="R151" s="4"/>
    </row>
    <row r="152" spans="1:18" ht="5.25" customHeight="1" thickTop="1" x14ac:dyDescent="0.25"/>
  </sheetData>
  <mergeCells count="11">
    <mergeCell ref="B150:R150"/>
    <mergeCell ref="D7:G7"/>
    <mergeCell ref="J7:J8"/>
    <mergeCell ref="M7:R7"/>
    <mergeCell ref="A7:A9"/>
    <mergeCell ref="B7:B8"/>
    <mergeCell ref="B144:R144"/>
    <mergeCell ref="B148:R148"/>
    <mergeCell ref="B145:R145"/>
    <mergeCell ref="B146:R146"/>
    <mergeCell ref="B149:R149"/>
  </mergeCells>
  <phoneticPr fontId="7" type="noConversion"/>
  <pageMargins left="0.7" right="0.7" top="0.75" bottom="0.75" header="0.3" footer="0.3"/>
  <pageSetup scale="63" fitToHeight="0" orientation="landscape" horizontalDpi="1200" verticalDpi="1200" r:id="rId1"/>
  <headerFooter>
    <oddFooter>&amp;L&amp;6{W0327924.2 }</oddFooter>
  </headerFooter>
  <rowBreaks count="5" manualBreakCount="5">
    <brk id="35" max="17" man="1"/>
    <brk id="60" max="17" man="1"/>
    <brk id="87" max="17" man="1"/>
    <brk id="112" max="17" man="1"/>
    <brk id="139"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F94"/>
  <sheetViews>
    <sheetView workbookViewId="0"/>
  </sheetViews>
  <sheetFormatPr defaultRowHeight="15.75" x14ac:dyDescent="0.25"/>
  <cols>
    <col min="1" max="1" width="5" style="1" customWidth="1"/>
    <col min="2" max="2" width="66.25" customWidth="1"/>
    <col min="3" max="15" width="14.125" customWidth="1"/>
    <col min="16" max="16" width="8.625" customWidth="1"/>
    <col min="17" max="17" width="9" customWidth="1"/>
    <col min="18" max="30" width="14.125" customWidth="1"/>
    <col min="31" max="31" width="11.625" customWidth="1"/>
    <col min="32" max="32" width="82.25" bestFit="1" customWidth="1"/>
    <col min="33" max="33" width="14.125" bestFit="1" customWidth="1"/>
  </cols>
  <sheetData>
    <row r="1" spans="1:32" x14ac:dyDescent="0.25">
      <c r="A1" s="6" t="str">
        <f>epe</f>
        <v>El Paso Electric Company</v>
      </c>
      <c r="O1" s="8" t="str">
        <f>$AF$1</f>
        <v>Worksheet A8</v>
      </c>
      <c r="AB1" s="8" t="str">
        <f>$AF$1</f>
        <v>Worksheet A8</v>
      </c>
      <c r="AF1" s="8" t="s">
        <v>438</v>
      </c>
    </row>
    <row r="2" spans="1:32" x14ac:dyDescent="0.25">
      <c r="A2" t="str">
        <f>frta</f>
        <v>Formula Rate Template (Actuals)</v>
      </c>
      <c r="O2" s="10"/>
    </row>
    <row r="3" spans="1:32" x14ac:dyDescent="0.25">
      <c r="A3" t="s">
        <v>774</v>
      </c>
      <c r="O3" s="10"/>
    </row>
    <row r="4" spans="1:32" x14ac:dyDescent="0.25">
      <c r="A4" t="str">
        <f>"12 Months Ended December 31, "&amp;YEAR('A1 (FF1 Inputs)'!$E$12)</f>
        <v>12 Months Ended December 31, 2020</v>
      </c>
    </row>
    <row r="5" spans="1:32"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row>
    <row r="6" spans="1:32" ht="5.25" customHeight="1" thickTop="1" x14ac:dyDescent="0.25">
      <c r="A6"/>
    </row>
    <row r="7" spans="1:32" s="40" customFormat="1" ht="15.75" customHeight="1" x14ac:dyDescent="0.25">
      <c r="A7" s="266" t="str">
        <f>ln</f>
        <v>Line No.</v>
      </c>
      <c r="B7" s="278" t="s">
        <v>2</v>
      </c>
      <c r="C7" s="276" t="s">
        <v>772</v>
      </c>
      <c r="D7" s="276"/>
      <c r="E7" s="276"/>
      <c r="F7" s="276"/>
      <c r="G7" s="276"/>
      <c r="H7" s="276"/>
      <c r="I7" s="276"/>
      <c r="J7" s="276"/>
      <c r="K7" s="276"/>
      <c r="L7" s="276"/>
      <c r="M7" s="276"/>
      <c r="N7" s="276"/>
      <c r="O7" s="276"/>
      <c r="P7" s="279" t="s">
        <v>393</v>
      </c>
      <c r="Q7" s="279"/>
      <c r="R7" s="276" t="s">
        <v>773</v>
      </c>
      <c r="S7" s="276"/>
      <c r="T7" s="276"/>
      <c r="U7" s="276"/>
      <c r="V7" s="276"/>
      <c r="W7" s="276"/>
      <c r="X7" s="276"/>
      <c r="Y7" s="276"/>
      <c r="Z7" s="276"/>
      <c r="AA7" s="276"/>
      <c r="AB7" s="276"/>
      <c r="AC7" s="276"/>
      <c r="AD7" s="276"/>
      <c r="AE7" s="280" t="s">
        <v>895</v>
      </c>
      <c r="AF7" s="278" t="s">
        <v>676</v>
      </c>
    </row>
    <row r="8" spans="1:32" s="40" customFormat="1" x14ac:dyDescent="0.25">
      <c r="A8" s="266"/>
      <c r="B8" s="278"/>
      <c r="C8" s="3" t="str">
        <f>"Dec-"&amp;YEAR('A1 (FF1 Inputs)'!$E$12)-1</f>
        <v>Dec-2019</v>
      </c>
      <c r="D8" s="3" t="str">
        <f>"Jan-"&amp;YEAR('A1 (FF1 Inputs)'!$E$12)</f>
        <v>Jan-2020</v>
      </c>
      <c r="E8" s="3" t="str">
        <f>"Feb-"&amp;YEAR('A1 (FF1 Inputs)'!$E$12)</f>
        <v>Feb-2020</v>
      </c>
      <c r="F8" s="3" t="str">
        <f>"Mar-"&amp;YEAR('A1 (FF1 Inputs)'!$E$12)</f>
        <v>Mar-2020</v>
      </c>
      <c r="G8" s="3" t="str">
        <f>"Apr-"&amp;YEAR('A1 (FF1 Inputs)'!$E$12)</f>
        <v>Apr-2020</v>
      </c>
      <c r="H8" s="3" t="str">
        <f>"May-"&amp;YEAR('A1 (FF1 Inputs)'!$E$12)</f>
        <v>May-2020</v>
      </c>
      <c r="I8" s="3" t="str">
        <f>"Jun-"&amp;YEAR('A1 (FF1 Inputs)'!$E$12)</f>
        <v>Jun-2020</v>
      </c>
      <c r="J8" s="3" t="str">
        <f>"Jul-"&amp;YEAR('A1 (FF1 Inputs)'!$E$12)</f>
        <v>Jul-2020</v>
      </c>
      <c r="K8" s="3" t="str">
        <f>"Aug-"&amp;YEAR('A1 (FF1 Inputs)'!$E$12)</f>
        <v>Aug-2020</v>
      </c>
      <c r="L8" s="3" t="str">
        <f>"Sep-"&amp;YEAR('A1 (FF1 Inputs)'!$E$12)</f>
        <v>Sep-2020</v>
      </c>
      <c r="M8" s="3" t="str">
        <f>"Oct-"&amp;YEAR('A1 (FF1 Inputs)'!$E$12)</f>
        <v>Oct-2020</v>
      </c>
      <c r="N8" s="3" t="str">
        <f>"Nov-"&amp;YEAR('A1 (FF1 Inputs)'!$E$12)</f>
        <v>Nov-2020</v>
      </c>
      <c r="O8" s="3" t="str">
        <f>"Dec-"&amp;YEAR('A1 (FF1 Inputs)'!$E$12)</f>
        <v>Dec-2020</v>
      </c>
      <c r="P8" s="3" t="s">
        <v>5</v>
      </c>
      <c r="Q8" s="3" t="s">
        <v>6</v>
      </c>
      <c r="R8" s="3" t="str">
        <f>"Dec-"&amp;YEAR('A1 (FF1 Inputs)'!$E$12)-1</f>
        <v>Dec-2019</v>
      </c>
      <c r="S8" s="3" t="str">
        <f>"Jan-"&amp;YEAR('A1 (FF1 Inputs)'!$E$12)</f>
        <v>Jan-2020</v>
      </c>
      <c r="T8" s="3" t="str">
        <f>"Feb-"&amp;YEAR('A1 (FF1 Inputs)'!$E$12)</f>
        <v>Feb-2020</v>
      </c>
      <c r="U8" s="3" t="str">
        <f>"Mar-"&amp;YEAR('A1 (FF1 Inputs)'!$E$12)</f>
        <v>Mar-2020</v>
      </c>
      <c r="V8" s="3" t="str">
        <f>"Apr-"&amp;YEAR('A1 (FF1 Inputs)'!$E$12)</f>
        <v>Apr-2020</v>
      </c>
      <c r="W8" s="3" t="str">
        <f>"May-"&amp;YEAR('A1 (FF1 Inputs)'!$E$12)</f>
        <v>May-2020</v>
      </c>
      <c r="X8" s="3" t="str">
        <f>"Jun-"&amp;YEAR('A1 (FF1 Inputs)'!$E$12)</f>
        <v>Jun-2020</v>
      </c>
      <c r="Y8" s="3" t="str">
        <f>"Jul-"&amp;YEAR('A1 (FF1 Inputs)'!$E$12)</f>
        <v>Jul-2020</v>
      </c>
      <c r="Z8" s="3" t="str">
        <f>"Aug-"&amp;YEAR('A1 (FF1 Inputs)'!$E$12)</f>
        <v>Aug-2020</v>
      </c>
      <c r="AA8" s="3" t="str">
        <f>"Sep-"&amp;YEAR('A1 (FF1 Inputs)'!$E$12)</f>
        <v>Sep-2020</v>
      </c>
      <c r="AB8" s="3" t="str">
        <f>"Oct-"&amp;YEAR('A1 (FF1 Inputs)'!$E$12)</f>
        <v>Oct-2020</v>
      </c>
      <c r="AC8" s="3" t="str">
        <f>"Nov-"&amp;YEAR('A1 (FF1 Inputs)'!$E$12)</f>
        <v>Nov-2020</v>
      </c>
      <c r="AD8" s="3" t="str">
        <f>"Dec-"&amp;YEAR('A1 (FF1 Inputs)'!$E$12)</f>
        <v>Dec-2020</v>
      </c>
      <c r="AE8" s="280"/>
      <c r="AF8" s="278"/>
    </row>
    <row r="9" spans="1:32" s="1" customFormat="1"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1" t="s">
        <v>395</v>
      </c>
      <c r="P9" s="2" t="s">
        <v>396</v>
      </c>
      <c r="Q9" s="2" t="s">
        <v>397</v>
      </c>
      <c r="R9" s="2" t="str">
        <f>"[q] = "&amp;C9&amp;" x "&amp;$Q$9</f>
        <v>[q] = [b] x [p]</v>
      </c>
      <c r="S9" s="2" t="str">
        <f>"[r] = "&amp;D9&amp;" x "&amp;$Q$9</f>
        <v>[r] = [c] x [p]</v>
      </c>
      <c r="T9" s="2" t="str">
        <f>"[s] = "&amp;E9&amp;" x "&amp;$Q$9</f>
        <v>[s] = [d] x [p]</v>
      </c>
      <c r="U9" s="2" t="str">
        <f>"[t] = "&amp;F9&amp;" x "&amp;$Q$9</f>
        <v>[t] = [e] x [p]</v>
      </c>
      <c r="V9" s="2" t="str">
        <f>"[u] = "&amp;G9&amp;" x "&amp;$Q$9</f>
        <v>[u] = [f] x [p]</v>
      </c>
      <c r="W9" s="2" t="str">
        <f>"[v] = "&amp;H9&amp;" x "&amp;$Q$9</f>
        <v>[v] = [g] x [p]</v>
      </c>
      <c r="X9" s="2" t="str">
        <f>"[w] = "&amp;I9&amp;" x "&amp;$Q$9</f>
        <v>[w] = [h] x [p]</v>
      </c>
      <c r="Y9" s="2" t="str">
        <f>"[x] = "&amp;J9&amp;" x "&amp;$Q$9</f>
        <v>[x] = [i] x [p]</v>
      </c>
      <c r="Z9" s="2" t="str">
        <f>"[y] = "&amp;K9&amp;" x "&amp;$Q$9</f>
        <v>[y] = [j] x [p]</v>
      </c>
      <c r="AA9" s="2" t="str">
        <f>"[z] = "&amp;L9&amp;" x "&amp;$Q$9</f>
        <v>[z] = [k] x [p]</v>
      </c>
      <c r="AB9" s="2" t="str">
        <f>"[aa] = "&amp;M9&amp;" x "&amp;$Q$9</f>
        <v>[aa] = [l] x [p]</v>
      </c>
      <c r="AC9" s="2" t="str">
        <f>"[bb] = "&amp;N9&amp;" x "&amp;$Q$9</f>
        <v>[bb] = [m] x [p]</v>
      </c>
      <c r="AD9" s="2" t="str">
        <f>"[cc] = "&amp;O9&amp;" x "&amp;$Q$9</f>
        <v>[cc] = [n] x [p]</v>
      </c>
      <c r="AE9" s="2" t="s">
        <v>636</v>
      </c>
      <c r="AF9" s="1" t="s">
        <v>637</v>
      </c>
    </row>
    <row r="10" spans="1:32"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row>
    <row r="11" spans="1:32" ht="5.25" customHeight="1" x14ac:dyDescent="0.25">
      <c r="A11"/>
    </row>
    <row r="12" spans="1:32" ht="18.75" x14ac:dyDescent="0.25">
      <c r="A12" s="89" t="s">
        <v>908</v>
      </c>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row>
    <row r="13" spans="1:32" x14ac:dyDescent="0.25">
      <c r="A13" s="31" t="s">
        <v>411</v>
      </c>
      <c r="B13" s="46" t="s">
        <v>693</v>
      </c>
      <c r="C13" s="37">
        <v>0</v>
      </c>
      <c r="D13" s="37">
        <v>-1</v>
      </c>
      <c r="E13" s="37">
        <v>-2</v>
      </c>
      <c r="F13" s="37">
        <v>-3</v>
      </c>
      <c r="G13" s="37">
        <v>-4</v>
      </c>
      <c r="H13" s="37">
        <v>-5</v>
      </c>
      <c r="I13" s="37">
        <v>-6</v>
      </c>
      <c r="J13" s="37">
        <v>-7</v>
      </c>
      <c r="K13" s="37">
        <v>-8</v>
      </c>
      <c r="L13" s="37">
        <v>-9</v>
      </c>
      <c r="M13" s="37">
        <v>-10</v>
      </c>
      <c r="N13" s="37">
        <v>-11</v>
      </c>
      <c r="O13" s="37">
        <v>-12</v>
      </c>
      <c r="P13" s="114" t="s">
        <v>29</v>
      </c>
      <c r="Q13" s="118">
        <f>IFERROR(VLOOKUP(P13,'A22 (Allocation Factors)'!$D:$F,3,0),0)</f>
        <v>0</v>
      </c>
      <c r="R13" s="41">
        <f>C13*$Q13</f>
        <v>0</v>
      </c>
      <c r="S13" s="41">
        <f t="shared" ref="S13:AD13" si="0">D13*$Q13</f>
        <v>0</v>
      </c>
      <c r="T13" s="41">
        <f t="shared" si="0"/>
        <v>0</v>
      </c>
      <c r="U13" s="41">
        <f t="shared" si="0"/>
        <v>0</v>
      </c>
      <c r="V13" s="41">
        <f t="shared" si="0"/>
        <v>0</v>
      </c>
      <c r="W13" s="41">
        <f t="shared" si="0"/>
        <v>0</v>
      </c>
      <c r="X13" s="41">
        <f t="shared" si="0"/>
        <v>0</v>
      </c>
      <c r="Y13" s="41">
        <f t="shared" si="0"/>
        <v>0</v>
      </c>
      <c r="Z13" s="41">
        <f t="shared" si="0"/>
        <v>0</v>
      </c>
      <c r="AA13" s="41">
        <f t="shared" si="0"/>
        <v>0</v>
      </c>
      <c r="AB13" s="41">
        <f t="shared" si="0"/>
        <v>0</v>
      </c>
      <c r="AC13" s="41">
        <f t="shared" si="0"/>
        <v>0</v>
      </c>
      <c r="AD13" s="41">
        <f t="shared" si="0"/>
        <v>0</v>
      </c>
      <c r="AE13" s="31" t="s">
        <v>786</v>
      </c>
      <c r="AF13" s="46" t="s">
        <v>898</v>
      </c>
    </row>
    <row r="14" spans="1:32" x14ac:dyDescent="0.25">
      <c r="A14" s="31" t="s">
        <v>412</v>
      </c>
      <c r="B14" s="46" t="s">
        <v>479</v>
      </c>
      <c r="C14" s="37">
        <v>3632472.27</v>
      </c>
      <c r="D14" s="37">
        <v>3621022.3191666668</v>
      </c>
      <c r="E14" s="37">
        <v>3609572.3683333336</v>
      </c>
      <c r="F14" s="37">
        <v>3598122.4175000004</v>
      </c>
      <c r="G14" s="37">
        <v>3586672.4666666673</v>
      </c>
      <c r="H14" s="37">
        <v>3575222.5158333341</v>
      </c>
      <c r="I14" s="37">
        <v>3563772.5650000009</v>
      </c>
      <c r="J14" s="37">
        <v>3552322.6141666677</v>
      </c>
      <c r="K14" s="37">
        <v>3540872.6633333345</v>
      </c>
      <c r="L14" s="37">
        <v>3529422.7125000013</v>
      </c>
      <c r="M14" s="37">
        <v>3517972.7616666681</v>
      </c>
      <c r="N14" s="37">
        <v>3506522.8108333349</v>
      </c>
      <c r="O14" s="37">
        <v>3495072.86</v>
      </c>
      <c r="P14" s="115" t="s">
        <v>29</v>
      </c>
      <c r="Q14" s="119">
        <f>IFERROR(VLOOKUP(P14,'A22 (Allocation Factors)'!$D:$F,3,0),0)</f>
        <v>0</v>
      </c>
      <c r="R14" s="41">
        <f t="shared" ref="R14:R39" si="1">C14*$Q14</f>
        <v>0</v>
      </c>
      <c r="S14" s="41">
        <f t="shared" ref="S14:S39" si="2">D14*$Q14</f>
        <v>0</v>
      </c>
      <c r="T14" s="41">
        <f t="shared" ref="T14:T39" si="3">E14*$Q14</f>
        <v>0</v>
      </c>
      <c r="U14" s="41">
        <f t="shared" ref="U14:U39" si="4">F14*$Q14</f>
        <v>0</v>
      </c>
      <c r="V14" s="41">
        <f t="shared" ref="V14:V39" si="5">G14*$Q14</f>
        <v>0</v>
      </c>
      <c r="W14" s="41">
        <f t="shared" ref="W14:W39" si="6">H14*$Q14</f>
        <v>0</v>
      </c>
      <c r="X14" s="41">
        <f t="shared" ref="X14:X39" si="7">I14*$Q14</f>
        <v>0</v>
      </c>
      <c r="Y14" s="41">
        <f t="shared" ref="Y14:Y39" si="8">J14*$Q14</f>
        <v>0</v>
      </c>
      <c r="Z14" s="41">
        <f t="shared" ref="Z14:Z39" si="9">K14*$Q14</f>
        <v>0</v>
      </c>
      <c r="AA14" s="41">
        <f t="shared" ref="AA14:AA39" si="10">L14*$Q14</f>
        <v>0</v>
      </c>
      <c r="AB14" s="41">
        <f t="shared" ref="AB14:AB39" si="11">M14*$Q14</f>
        <v>0</v>
      </c>
      <c r="AC14" s="41">
        <f t="shared" ref="AC14:AC39" si="12">N14*$Q14</f>
        <v>0</v>
      </c>
      <c r="AD14" s="41">
        <f t="shared" ref="AD14:AD39" si="13">O14*$Q14</f>
        <v>0</v>
      </c>
      <c r="AE14" s="31" t="s">
        <v>786</v>
      </c>
      <c r="AF14" s="46" t="s">
        <v>766</v>
      </c>
    </row>
    <row r="15" spans="1:32" x14ac:dyDescent="0.25">
      <c r="A15" s="31" t="s">
        <v>413</v>
      </c>
      <c r="B15" s="46" t="s">
        <v>480</v>
      </c>
      <c r="C15" s="37">
        <v>-101419.8</v>
      </c>
      <c r="D15" s="37">
        <v>-106116.56666666667</v>
      </c>
      <c r="E15" s="37">
        <v>-110813.33333333333</v>
      </c>
      <c r="F15" s="37">
        <v>-115510.09999999999</v>
      </c>
      <c r="G15" s="37">
        <v>-120206.86666666665</v>
      </c>
      <c r="H15" s="37">
        <v>-124903.63333333332</v>
      </c>
      <c r="I15" s="37">
        <v>-129600.39999999998</v>
      </c>
      <c r="J15" s="37">
        <v>-134297.16666666666</v>
      </c>
      <c r="K15" s="37">
        <v>-138993.93333333332</v>
      </c>
      <c r="L15" s="37">
        <v>-143690.69999999998</v>
      </c>
      <c r="M15" s="37">
        <v>-148387.46666666665</v>
      </c>
      <c r="N15" s="37">
        <v>-153084.23333333331</v>
      </c>
      <c r="O15" s="37">
        <v>-157781</v>
      </c>
      <c r="P15" s="115" t="s">
        <v>29</v>
      </c>
      <c r="Q15" s="119">
        <f>IFERROR(VLOOKUP(P15,'A22 (Allocation Factors)'!$D:$F,3,0),0)</f>
        <v>0</v>
      </c>
      <c r="R15" s="41">
        <f t="shared" si="1"/>
        <v>0</v>
      </c>
      <c r="S15" s="41">
        <f t="shared" si="2"/>
        <v>0</v>
      </c>
      <c r="T15" s="41">
        <f t="shared" si="3"/>
        <v>0</v>
      </c>
      <c r="U15" s="41">
        <f t="shared" si="4"/>
        <v>0</v>
      </c>
      <c r="V15" s="41">
        <f t="shared" si="5"/>
        <v>0</v>
      </c>
      <c r="W15" s="41">
        <f t="shared" si="6"/>
        <v>0</v>
      </c>
      <c r="X15" s="41">
        <f t="shared" si="7"/>
        <v>0</v>
      </c>
      <c r="Y15" s="41">
        <f t="shared" si="8"/>
        <v>0</v>
      </c>
      <c r="Z15" s="41">
        <f t="shared" si="9"/>
        <v>0</v>
      </c>
      <c r="AA15" s="41">
        <f t="shared" si="10"/>
        <v>0</v>
      </c>
      <c r="AB15" s="41">
        <f t="shared" si="11"/>
        <v>0</v>
      </c>
      <c r="AC15" s="41">
        <f t="shared" si="12"/>
        <v>0</v>
      </c>
      <c r="AD15" s="41">
        <f t="shared" si="13"/>
        <v>0</v>
      </c>
      <c r="AE15" s="31" t="s">
        <v>786</v>
      </c>
      <c r="AF15" s="46" t="s">
        <v>766</v>
      </c>
    </row>
    <row r="16" spans="1:32" x14ac:dyDescent="0.25">
      <c r="A16" s="31" t="s">
        <v>456</v>
      </c>
      <c r="B16" s="46" t="s">
        <v>481</v>
      </c>
      <c r="C16" s="37">
        <v>13483169.949999999</v>
      </c>
      <c r="D16" s="37">
        <v>13265739.0375</v>
      </c>
      <c r="E16" s="37">
        <v>13048308.125</v>
      </c>
      <c r="F16" s="37">
        <v>12830877.2125</v>
      </c>
      <c r="G16" s="37">
        <v>12613446.300000001</v>
      </c>
      <c r="H16" s="37">
        <v>12396015.387500001</v>
      </c>
      <c r="I16" s="37">
        <v>12178584.475000001</v>
      </c>
      <c r="J16" s="37">
        <v>11961153.562500002</v>
      </c>
      <c r="K16" s="37">
        <v>11743722.650000002</v>
      </c>
      <c r="L16" s="37">
        <v>11526291.737500003</v>
      </c>
      <c r="M16" s="37">
        <v>11308860.825000003</v>
      </c>
      <c r="N16" s="37">
        <v>11091429.912500003</v>
      </c>
      <c r="O16" s="37">
        <v>10873999</v>
      </c>
      <c r="P16" s="115" t="s">
        <v>29</v>
      </c>
      <c r="Q16" s="119">
        <f>IFERROR(VLOOKUP(P16,'A22 (Allocation Factors)'!$D:$F,3,0),0)</f>
        <v>0</v>
      </c>
      <c r="R16" s="41">
        <f t="shared" si="1"/>
        <v>0</v>
      </c>
      <c r="S16" s="41">
        <f t="shared" si="2"/>
        <v>0</v>
      </c>
      <c r="T16" s="41">
        <f t="shared" si="3"/>
        <v>0</v>
      </c>
      <c r="U16" s="41">
        <f t="shared" si="4"/>
        <v>0</v>
      </c>
      <c r="V16" s="41">
        <f t="shared" si="5"/>
        <v>0</v>
      </c>
      <c r="W16" s="41">
        <f t="shared" si="6"/>
        <v>0</v>
      </c>
      <c r="X16" s="41">
        <f t="shared" si="7"/>
        <v>0</v>
      </c>
      <c r="Y16" s="41">
        <f t="shared" si="8"/>
        <v>0</v>
      </c>
      <c r="Z16" s="41">
        <f t="shared" si="9"/>
        <v>0</v>
      </c>
      <c r="AA16" s="41">
        <f t="shared" si="10"/>
        <v>0</v>
      </c>
      <c r="AB16" s="41">
        <f t="shared" si="11"/>
        <v>0</v>
      </c>
      <c r="AC16" s="41">
        <f t="shared" si="12"/>
        <v>0</v>
      </c>
      <c r="AD16" s="41">
        <f t="shared" si="13"/>
        <v>0</v>
      </c>
      <c r="AE16" s="31" t="s">
        <v>786</v>
      </c>
      <c r="AF16" s="46" t="s">
        <v>766</v>
      </c>
    </row>
    <row r="17" spans="1:32" x14ac:dyDescent="0.25">
      <c r="A17" s="31" t="s">
        <v>457</v>
      </c>
      <c r="B17" s="46" t="s">
        <v>482</v>
      </c>
      <c r="C17" s="37">
        <v>29218271.34</v>
      </c>
      <c r="D17" s="37">
        <v>29449965.702500001</v>
      </c>
      <c r="E17" s="37">
        <v>29681660.065000001</v>
      </c>
      <c r="F17" s="37">
        <v>29913354.427500002</v>
      </c>
      <c r="G17" s="37">
        <v>30145048.790000003</v>
      </c>
      <c r="H17" s="37">
        <v>30376743.152500004</v>
      </c>
      <c r="I17" s="37">
        <v>30608437.515000004</v>
      </c>
      <c r="J17" s="37">
        <v>30840131.877500005</v>
      </c>
      <c r="K17" s="37">
        <v>31071826.240000006</v>
      </c>
      <c r="L17" s="37">
        <v>31303520.602500007</v>
      </c>
      <c r="M17" s="37">
        <v>31535214.965000007</v>
      </c>
      <c r="N17" s="37">
        <v>31766909.327500008</v>
      </c>
      <c r="O17" s="37">
        <v>31998603.690000001</v>
      </c>
      <c r="P17" s="115" t="s">
        <v>333</v>
      </c>
      <c r="Q17" s="119">
        <f>IFERROR(VLOOKUP(P17,'A22 (Allocation Factors)'!$D:$F,3,0),0)</f>
        <v>0.12132411580047649</v>
      </c>
      <c r="R17" s="41">
        <f t="shared" si="1"/>
        <v>3544880.9355439031</v>
      </c>
      <c r="S17" s="41">
        <f t="shared" si="2"/>
        <v>3572991.0492101707</v>
      </c>
      <c r="T17" s="41">
        <f t="shared" si="3"/>
        <v>3601101.1628764388</v>
      </c>
      <c r="U17" s="41">
        <f t="shared" si="4"/>
        <v>3629211.2765427064</v>
      </c>
      <c r="V17" s="41">
        <f t="shared" si="5"/>
        <v>3657321.390208974</v>
      </c>
      <c r="W17" s="41">
        <f t="shared" si="6"/>
        <v>3685431.5038752416</v>
      </c>
      <c r="X17" s="41">
        <f t="shared" si="7"/>
        <v>3713541.6175415092</v>
      </c>
      <c r="Y17" s="41">
        <f t="shared" si="8"/>
        <v>3741651.7312077768</v>
      </c>
      <c r="Z17" s="41">
        <f t="shared" si="9"/>
        <v>3769761.8448740444</v>
      </c>
      <c r="AA17" s="41">
        <f t="shared" si="10"/>
        <v>3797871.9585403125</v>
      </c>
      <c r="AB17" s="41">
        <f t="shared" si="11"/>
        <v>3825982.0722065801</v>
      </c>
      <c r="AC17" s="41">
        <f t="shared" si="12"/>
        <v>3854092.1858728477</v>
      </c>
      <c r="AD17" s="41">
        <f t="shared" si="13"/>
        <v>3882202.2995391143</v>
      </c>
      <c r="AE17" s="31" t="s">
        <v>785</v>
      </c>
      <c r="AF17" s="46" t="s">
        <v>899</v>
      </c>
    </row>
    <row r="18" spans="1:32" x14ac:dyDescent="0.25">
      <c r="A18" s="31" t="s">
        <v>458</v>
      </c>
      <c r="B18" s="46" t="s">
        <v>483</v>
      </c>
      <c r="C18" s="37">
        <v>9091237.5299999993</v>
      </c>
      <c r="D18" s="37">
        <v>9161393.3058333322</v>
      </c>
      <c r="E18" s="37">
        <v>9231549.0816666652</v>
      </c>
      <c r="F18" s="37">
        <v>9301704.8574999981</v>
      </c>
      <c r="G18" s="37">
        <v>9371860.633333331</v>
      </c>
      <c r="H18" s="37">
        <v>9442016.4091666639</v>
      </c>
      <c r="I18" s="37">
        <v>9512172.1849999968</v>
      </c>
      <c r="J18" s="37">
        <v>9582327.9608333297</v>
      </c>
      <c r="K18" s="37">
        <v>9652483.7366666626</v>
      </c>
      <c r="L18" s="37">
        <v>9722639.5124999955</v>
      </c>
      <c r="M18" s="37">
        <v>9792795.2883333284</v>
      </c>
      <c r="N18" s="37">
        <v>9862951.0641666614</v>
      </c>
      <c r="O18" s="37">
        <v>9933106.8399999999</v>
      </c>
      <c r="P18" s="115" t="s">
        <v>29</v>
      </c>
      <c r="Q18" s="119">
        <f>IFERROR(VLOOKUP(P18,'A22 (Allocation Factors)'!$D:$F,3,0),0)</f>
        <v>0</v>
      </c>
      <c r="R18" s="41">
        <f t="shared" si="1"/>
        <v>0</v>
      </c>
      <c r="S18" s="41">
        <f t="shared" si="2"/>
        <v>0</v>
      </c>
      <c r="T18" s="41">
        <f t="shared" si="3"/>
        <v>0</v>
      </c>
      <c r="U18" s="41">
        <f t="shared" si="4"/>
        <v>0</v>
      </c>
      <c r="V18" s="41">
        <f t="shared" si="5"/>
        <v>0</v>
      </c>
      <c r="W18" s="41">
        <f t="shared" si="6"/>
        <v>0</v>
      </c>
      <c r="X18" s="41">
        <f t="shared" si="7"/>
        <v>0</v>
      </c>
      <c r="Y18" s="41">
        <f t="shared" si="8"/>
        <v>0</v>
      </c>
      <c r="Z18" s="41">
        <f t="shared" si="9"/>
        <v>0</v>
      </c>
      <c r="AA18" s="41">
        <f t="shared" si="10"/>
        <v>0</v>
      </c>
      <c r="AB18" s="41">
        <f t="shared" si="11"/>
        <v>0</v>
      </c>
      <c r="AC18" s="41">
        <f t="shared" si="12"/>
        <v>0</v>
      </c>
      <c r="AD18" s="41">
        <f t="shared" si="13"/>
        <v>0</v>
      </c>
      <c r="AE18" s="31" t="s">
        <v>785</v>
      </c>
      <c r="AF18" s="46" t="s">
        <v>694</v>
      </c>
    </row>
    <row r="19" spans="1:32" x14ac:dyDescent="0.25">
      <c r="A19" s="31" t="s">
        <v>459</v>
      </c>
      <c r="B19" s="46" t="s">
        <v>484</v>
      </c>
      <c r="C19" s="37">
        <v>-1887159.75</v>
      </c>
      <c r="D19" s="37">
        <v>-1860124.2749999999</v>
      </c>
      <c r="E19" s="37">
        <v>-1833088.7999999998</v>
      </c>
      <c r="F19" s="37">
        <v>-1806053.3249999997</v>
      </c>
      <c r="G19" s="37">
        <v>-1779017.8499999996</v>
      </c>
      <c r="H19" s="37">
        <v>-1751982.3749999995</v>
      </c>
      <c r="I19" s="37">
        <v>-1724946.8999999994</v>
      </c>
      <c r="J19" s="37">
        <v>-1697911.4249999993</v>
      </c>
      <c r="K19" s="37">
        <v>-1670875.9499999993</v>
      </c>
      <c r="L19" s="37">
        <v>-1643840.4749999992</v>
      </c>
      <c r="M19" s="37">
        <v>-1616804.9999999991</v>
      </c>
      <c r="N19" s="37">
        <v>-1589769.524999999</v>
      </c>
      <c r="O19" s="37">
        <v>-1562734.05</v>
      </c>
      <c r="P19" s="115" t="s">
        <v>29</v>
      </c>
      <c r="Q19" s="119">
        <f>IFERROR(VLOOKUP(P19,'A22 (Allocation Factors)'!$D:$F,3,0),0)</f>
        <v>0</v>
      </c>
      <c r="R19" s="41">
        <f t="shared" si="1"/>
        <v>0</v>
      </c>
      <c r="S19" s="41">
        <f t="shared" si="2"/>
        <v>0</v>
      </c>
      <c r="T19" s="41">
        <f t="shared" si="3"/>
        <v>0</v>
      </c>
      <c r="U19" s="41">
        <f t="shared" si="4"/>
        <v>0</v>
      </c>
      <c r="V19" s="41">
        <f t="shared" si="5"/>
        <v>0</v>
      </c>
      <c r="W19" s="41">
        <f t="shared" si="6"/>
        <v>0</v>
      </c>
      <c r="X19" s="41">
        <f t="shared" si="7"/>
        <v>0</v>
      </c>
      <c r="Y19" s="41">
        <f t="shared" si="8"/>
        <v>0</v>
      </c>
      <c r="Z19" s="41">
        <f t="shared" si="9"/>
        <v>0</v>
      </c>
      <c r="AA19" s="41">
        <f t="shared" si="10"/>
        <v>0</v>
      </c>
      <c r="AB19" s="41">
        <f t="shared" si="11"/>
        <v>0</v>
      </c>
      <c r="AC19" s="41">
        <f t="shared" si="12"/>
        <v>0</v>
      </c>
      <c r="AD19" s="41">
        <f t="shared" si="13"/>
        <v>0</v>
      </c>
      <c r="AE19" s="31" t="s">
        <v>786</v>
      </c>
      <c r="AF19" s="46" t="s">
        <v>696</v>
      </c>
    </row>
    <row r="20" spans="1:32" x14ac:dyDescent="0.25">
      <c r="A20" s="31" t="s">
        <v>460</v>
      </c>
      <c r="B20" s="46" t="s">
        <v>485</v>
      </c>
      <c r="C20" s="37">
        <v>1528952.22</v>
      </c>
      <c r="D20" s="37">
        <v>1514826.52</v>
      </c>
      <c r="E20" s="37">
        <v>1500700.82</v>
      </c>
      <c r="F20" s="37">
        <v>1486575.12</v>
      </c>
      <c r="G20" s="37">
        <v>1472449.4200000002</v>
      </c>
      <c r="H20" s="37">
        <v>1458323.7200000002</v>
      </c>
      <c r="I20" s="37">
        <v>1444198.0200000003</v>
      </c>
      <c r="J20" s="37">
        <v>1430072.3200000003</v>
      </c>
      <c r="K20" s="37">
        <v>1415946.6200000003</v>
      </c>
      <c r="L20" s="37">
        <v>1401820.9200000004</v>
      </c>
      <c r="M20" s="37">
        <v>1387695.2200000004</v>
      </c>
      <c r="N20" s="37">
        <v>1373569.5200000005</v>
      </c>
      <c r="O20" s="37">
        <v>1359443.82</v>
      </c>
      <c r="P20" s="115" t="s">
        <v>333</v>
      </c>
      <c r="Q20" s="119">
        <f>IFERROR(VLOOKUP(P20,'A22 (Allocation Factors)'!$D:$F,3,0),0)</f>
        <v>0.12132411580047649</v>
      </c>
      <c r="R20" s="41">
        <f t="shared" si="1"/>
        <v>185498.77619267561</v>
      </c>
      <c r="S20" s="41">
        <f t="shared" si="2"/>
        <v>183784.98813011282</v>
      </c>
      <c r="T20" s="41">
        <f t="shared" si="3"/>
        <v>182071.20006755003</v>
      </c>
      <c r="U20" s="41">
        <f t="shared" si="4"/>
        <v>180357.41200498724</v>
      </c>
      <c r="V20" s="41">
        <f t="shared" si="5"/>
        <v>178643.62394242446</v>
      </c>
      <c r="W20" s="41">
        <f t="shared" si="6"/>
        <v>176929.83587986167</v>
      </c>
      <c r="X20" s="41">
        <f t="shared" si="7"/>
        <v>175216.04781729888</v>
      </c>
      <c r="Y20" s="41">
        <f t="shared" si="8"/>
        <v>173502.25975473609</v>
      </c>
      <c r="Z20" s="41">
        <f t="shared" si="9"/>
        <v>171788.47169217331</v>
      </c>
      <c r="AA20" s="41">
        <f t="shared" si="10"/>
        <v>170074.68362961055</v>
      </c>
      <c r="AB20" s="41">
        <f t="shared" si="11"/>
        <v>168360.89556704776</v>
      </c>
      <c r="AC20" s="41">
        <f t="shared" si="12"/>
        <v>166647.10750448497</v>
      </c>
      <c r="AD20" s="41">
        <f t="shared" si="13"/>
        <v>164933.31944192213</v>
      </c>
      <c r="AE20" s="31" t="s">
        <v>785</v>
      </c>
      <c r="AF20" s="46" t="s">
        <v>770</v>
      </c>
    </row>
    <row r="21" spans="1:32" x14ac:dyDescent="0.25">
      <c r="A21" s="31" t="s">
        <v>461</v>
      </c>
      <c r="B21" s="46" t="s">
        <v>486</v>
      </c>
      <c r="C21" s="37">
        <v>7776.43</v>
      </c>
      <c r="D21" s="37">
        <v>7128.3941666666669</v>
      </c>
      <c r="E21" s="37">
        <v>6480.3583333333336</v>
      </c>
      <c r="F21" s="37">
        <v>5832.3225000000002</v>
      </c>
      <c r="G21" s="37">
        <v>5184.2866666666669</v>
      </c>
      <c r="H21" s="37">
        <v>4536.2508333333335</v>
      </c>
      <c r="I21" s="37">
        <v>3888.2150000000001</v>
      </c>
      <c r="J21" s="37">
        <v>3240.1791666666668</v>
      </c>
      <c r="K21" s="37">
        <v>2592.1433333333334</v>
      </c>
      <c r="L21" s="37">
        <v>1944.1075000000001</v>
      </c>
      <c r="M21" s="37">
        <v>1296.0716666666667</v>
      </c>
      <c r="N21" s="37">
        <v>648.03583333333336</v>
      </c>
      <c r="O21" s="37">
        <v>0</v>
      </c>
      <c r="P21" s="115" t="s">
        <v>29</v>
      </c>
      <c r="Q21" s="119">
        <f>IFERROR(VLOOKUP(P21,'A22 (Allocation Factors)'!$D:$F,3,0),0)</f>
        <v>0</v>
      </c>
      <c r="R21" s="41">
        <f t="shared" si="1"/>
        <v>0</v>
      </c>
      <c r="S21" s="41">
        <f t="shared" si="2"/>
        <v>0</v>
      </c>
      <c r="T21" s="41">
        <f t="shared" si="3"/>
        <v>0</v>
      </c>
      <c r="U21" s="41">
        <f t="shared" si="4"/>
        <v>0</v>
      </c>
      <c r="V21" s="41">
        <f t="shared" si="5"/>
        <v>0</v>
      </c>
      <c r="W21" s="41">
        <f t="shared" si="6"/>
        <v>0</v>
      </c>
      <c r="X21" s="41">
        <f t="shared" si="7"/>
        <v>0</v>
      </c>
      <c r="Y21" s="41">
        <f t="shared" si="8"/>
        <v>0</v>
      </c>
      <c r="Z21" s="41">
        <f t="shared" si="9"/>
        <v>0</v>
      </c>
      <c r="AA21" s="41">
        <f t="shared" si="10"/>
        <v>0</v>
      </c>
      <c r="AB21" s="41">
        <f t="shared" si="11"/>
        <v>0</v>
      </c>
      <c r="AC21" s="41">
        <f t="shared" si="12"/>
        <v>0</v>
      </c>
      <c r="AD21" s="41">
        <f t="shared" si="13"/>
        <v>0</v>
      </c>
      <c r="AE21" s="31" t="s">
        <v>786</v>
      </c>
      <c r="AF21" s="46" t="s">
        <v>767</v>
      </c>
    </row>
    <row r="22" spans="1:32" x14ac:dyDescent="0.25">
      <c r="A22" s="31" t="s">
        <v>462</v>
      </c>
      <c r="B22" s="46" t="s">
        <v>487</v>
      </c>
      <c r="C22" s="37">
        <v>396128.84</v>
      </c>
      <c r="D22" s="37">
        <v>389083.87916666671</v>
      </c>
      <c r="E22" s="37">
        <v>382038.91833333339</v>
      </c>
      <c r="F22" s="37">
        <v>374993.95750000008</v>
      </c>
      <c r="G22" s="37">
        <v>367948.99666666676</v>
      </c>
      <c r="H22" s="37">
        <v>360904.03583333344</v>
      </c>
      <c r="I22" s="37">
        <v>353859.07500000013</v>
      </c>
      <c r="J22" s="37">
        <v>346814.11416666681</v>
      </c>
      <c r="K22" s="37">
        <v>339769.1533333335</v>
      </c>
      <c r="L22" s="37">
        <v>332724.19250000018</v>
      </c>
      <c r="M22" s="37">
        <v>325679.23166666686</v>
      </c>
      <c r="N22" s="37">
        <v>318634.27083333355</v>
      </c>
      <c r="O22" s="37">
        <v>311589.31</v>
      </c>
      <c r="P22" s="115" t="s">
        <v>29</v>
      </c>
      <c r="Q22" s="119">
        <f>IFERROR(VLOOKUP(P22,'A22 (Allocation Factors)'!$D:$F,3,0),0)</f>
        <v>0</v>
      </c>
      <c r="R22" s="41">
        <f t="shared" si="1"/>
        <v>0</v>
      </c>
      <c r="S22" s="41">
        <f t="shared" si="2"/>
        <v>0</v>
      </c>
      <c r="T22" s="41">
        <f t="shared" si="3"/>
        <v>0</v>
      </c>
      <c r="U22" s="41">
        <f t="shared" si="4"/>
        <v>0</v>
      </c>
      <c r="V22" s="41">
        <f t="shared" si="5"/>
        <v>0</v>
      </c>
      <c r="W22" s="41">
        <f t="shared" si="6"/>
        <v>0</v>
      </c>
      <c r="X22" s="41">
        <f t="shared" si="7"/>
        <v>0</v>
      </c>
      <c r="Y22" s="41">
        <f t="shared" si="8"/>
        <v>0</v>
      </c>
      <c r="Z22" s="41">
        <f t="shared" si="9"/>
        <v>0</v>
      </c>
      <c r="AA22" s="41">
        <f t="shared" si="10"/>
        <v>0</v>
      </c>
      <c r="AB22" s="41">
        <f t="shared" si="11"/>
        <v>0</v>
      </c>
      <c r="AC22" s="41">
        <f t="shared" si="12"/>
        <v>0</v>
      </c>
      <c r="AD22" s="41">
        <f t="shared" si="13"/>
        <v>0</v>
      </c>
      <c r="AE22" s="31" t="s">
        <v>786</v>
      </c>
      <c r="AF22" s="46" t="s">
        <v>767</v>
      </c>
    </row>
    <row r="23" spans="1:32" x14ac:dyDescent="0.25">
      <c r="A23" s="31" t="s">
        <v>463</v>
      </c>
      <c r="B23" s="46" t="s">
        <v>488</v>
      </c>
      <c r="C23" s="37">
        <v>3701463.91</v>
      </c>
      <c r="D23" s="37">
        <v>3393008.6783333337</v>
      </c>
      <c r="E23" s="37">
        <v>3084553.4466666672</v>
      </c>
      <c r="F23" s="37">
        <v>2776098.2150000008</v>
      </c>
      <c r="G23" s="37">
        <v>2467642.9833333343</v>
      </c>
      <c r="H23" s="37">
        <v>2159187.7516666679</v>
      </c>
      <c r="I23" s="37">
        <v>1850732.5200000012</v>
      </c>
      <c r="J23" s="37">
        <v>1542277.2883333345</v>
      </c>
      <c r="K23" s="37">
        <v>1233822.0566666678</v>
      </c>
      <c r="L23" s="37">
        <v>925366.82500000112</v>
      </c>
      <c r="M23" s="37">
        <v>616911.59333333443</v>
      </c>
      <c r="N23" s="37">
        <v>308456.36166666774</v>
      </c>
      <c r="O23" s="37">
        <v>1.1299999999999999</v>
      </c>
      <c r="P23" s="115" t="s">
        <v>29</v>
      </c>
      <c r="Q23" s="119">
        <f>IFERROR(VLOOKUP(P23,'A22 (Allocation Factors)'!$D:$F,3,0),0)</f>
        <v>0</v>
      </c>
      <c r="R23" s="41">
        <f t="shared" si="1"/>
        <v>0</v>
      </c>
      <c r="S23" s="41">
        <f t="shared" si="2"/>
        <v>0</v>
      </c>
      <c r="T23" s="41">
        <f t="shared" si="3"/>
        <v>0</v>
      </c>
      <c r="U23" s="41">
        <f t="shared" si="4"/>
        <v>0</v>
      </c>
      <c r="V23" s="41">
        <f t="shared" si="5"/>
        <v>0</v>
      </c>
      <c r="W23" s="41">
        <f t="shared" si="6"/>
        <v>0</v>
      </c>
      <c r="X23" s="41">
        <f t="shared" si="7"/>
        <v>0</v>
      </c>
      <c r="Y23" s="41">
        <f t="shared" si="8"/>
        <v>0</v>
      </c>
      <c r="Z23" s="41">
        <f t="shared" si="9"/>
        <v>0</v>
      </c>
      <c r="AA23" s="41">
        <f t="shared" si="10"/>
        <v>0</v>
      </c>
      <c r="AB23" s="41">
        <f t="shared" si="11"/>
        <v>0</v>
      </c>
      <c r="AC23" s="41">
        <f t="shared" si="12"/>
        <v>0</v>
      </c>
      <c r="AD23" s="41">
        <f t="shared" si="13"/>
        <v>0</v>
      </c>
      <c r="AE23" s="31" t="s">
        <v>786</v>
      </c>
      <c r="AF23" s="46" t="s">
        <v>767</v>
      </c>
    </row>
    <row r="24" spans="1:32" x14ac:dyDescent="0.25">
      <c r="A24" s="31" t="s">
        <v>464</v>
      </c>
      <c r="B24" s="46" t="s">
        <v>489</v>
      </c>
      <c r="C24" s="37">
        <v>1255468.3999999999</v>
      </c>
      <c r="D24" s="37">
        <v>1247026.8491666666</v>
      </c>
      <c r="E24" s="37">
        <v>1238585.2983333333</v>
      </c>
      <c r="F24" s="37">
        <v>1230143.7475000001</v>
      </c>
      <c r="G24" s="37">
        <v>1221702.1966666668</v>
      </c>
      <c r="H24" s="37">
        <v>1213260.6458333335</v>
      </c>
      <c r="I24" s="37">
        <v>1204819.0950000002</v>
      </c>
      <c r="J24" s="37">
        <v>1196377.5441666669</v>
      </c>
      <c r="K24" s="37">
        <v>1187935.9933333336</v>
      </c>
      <c r="L24" s="37">
        <v>1179494.4425000004</v>
      </c>
      <c r="M24" s="37">
        <v>1171052.8916666671</v>
      </c>
      <c r="N24" s="37">
        <v>1162611.3408333338</v>
      </c>
      <c r="O24" s="37">
        <v>1154169.79</v>
      </c>
      <c r="P24" s="115" t="s">
        <v>333</v>
      </c>
      <c r="Q24" s="119">
        <f>IFERROR(VLOOKUP(P24,'A22 (Allocation Factors)'!$D:$F,3,0),0)</f>
        <v>0.12132411580047649</v>
      </c>
      <c r="R24" s="41">
        <f t="shared" si="1"/>
        <v>152318.59354543893</v>
      </c>
      <c r="S24" s="41">
        <f t="shared" si="2"/>
        <v>151294.42985459999</v>
      </c>
      <c r="T24" s="41">
        <f t="shared" si="3"/>
        <v>150270.26616376106</v>
      </c>
      <c r="U24" s="41">
        <f t="shared" si="4"/>
        <v>149246.10247292212</v>
      </c>
      <c r="V24" s="41">
        <f t="shared" si="5"/>
        <v>148221.93878208319</v>
      </c>
      <c r="W24" s="41">
        <f t="shared" si="6"/>
        <v>147197.77509124423</v>
      </c>
      <c r="X24" s="41">
        <f t="shared" si="7"/>
        <v>146173.61140040529</v>
      </c>
      <c r="Y24" s="41">
        <f t="shared" si="8"/>
        <v>145149.44770956636</v>
      </c>
      <c r="Z24" s="41">
        <f t="shared" si="9"/>
        <v>144125.28401872743</v>
      </c>
      <c r="AA24" s="41">
        <f t="shared" si="10"/>
        <v>143101.12032788849</v>
      </c>
      <c r="AB24" s="41">
        <f t="shared" si="11"/>
        <v>142076.95663704956</v>
      </c>
      <c r="AC24" s="41">
        <f t="shared" si="12"/>
        <v>141052.79294621063</v>
      </c>
      <c r="AD24" s="41">
        <f t="shared" si="13"/>
        <v>140028.62925537163</v>
      </c>
      <c r="AE24" s="31" t="s">
        <v>785</v>
      </c>
      <c r="AF24" s="46" t="s">
        <v>898</v>
      </c>
    </row>
    <row r="25" spans="1:32" x14ac:dyDescent="0.25">
      <c r="A25" s="31" t="s">
        <v>465</v>
      </c>
      <c r="B25" s="46" t="s">
        <v>490</v>
      </c>
      <c r="C25" s="37">
        <v>66824187.420000002</v>
      </c>
      <c r="D25" s="37">
        <v>66819087.022500001</v>
      </c>
      <c r="E25" s="37">
        <v>66813986.625</v>
      </c>
      <c r="F25" s="37">
        <v>66808886.227499999</v>
      </c>
      <c r="G25" s="37">
        <v>66803785.829999998</v>
      </c>
      <c r="H25" s="37">
        <v>66798685.432499997</v>
      </c>
      <c r="I25" s="37">
        <v>66793585.034999996</v>
      </c>
      <c r="J25" s="37">
        <v>66788484.637499996</v>
      </c>
      <c r="K25" s="37">
        <v>66783384.239999995</v>
      </c>
      <c r="L25" s="37">
        <v>66778283.842499994</v>
      </c>
      <c r="M25" s="37">
        <v>66773183.444999993</v>
      </c>
      <c r="N25" s="37">
        <v>66768083.047499992</v>
      </c>
      <c r="O25" s="37">
        <v>66762982.649999999</v>
      </c>
      <c r="P25" s="115" t="s">
        <v>29</v>
      </c>
      <c r="Q25" s="119">
        <f>IFERROR(VLOOKUP(P25,'A22 (Allocation Factors)'!$D:$F,3,0),0)</f>
        <v>0</v>
      </c>
      <c r="R25" s="41">
        <f t="shared" si="1"/>
        <v>0</v>
      </c>
      <c r="S25" s="41">
        <f t="shared" si="2"/>
        <v>0</v>
      </c>
      <c r="T25" s="41">
        <f t="shared" si="3"/>
        <v>0</v>
      </c>
      <c r="U25" s="41">
        <f t="shared" si="4"/>
        <v>0</v>
      </c>
      <c r="V25" s="41">
        <f t="shared" si="5"/>
        <v>0</v>
      </c>
      <c r="W25" s="41">
        <f t="shared" si="6"/>
        <v>0</v>
      </c>
      <c r="X25" s="41">
        <f t="shared" si="7"/>
        <v>0</v>
      </c>
      <c r="Y25" s="41">
        <f t="shared" si="8"/>
        <v>0</v>
      </c>
      <c r="Z25" s="41">
        <f t="shared" si="9"/>
        <v>0</v>
      </c>
      <c r="AA25" s="41">
        <f t="shared" si="10"/>
        <v>0</v>
      </c>
      <c r="AB25" s="41">
        <f t="shared" si="11"/>
        <v>0</v>
      </c>
      <c r="AC25" s="41">
        <f t="shared" si="12"/>
        <v>0</v>
      </c>
      <c r="AD25" s="41">
        <f t="shared" si="13"/>
        <v>0</v>
      </c>
      <c r="AE25" s="31" t="s">
        <v>786</v>
      </c>
      <c r="AF25" s="46" t="s">
        <v>768</v>
      </c>
    </row>
    <row r="26" spans="1:32" x14ac:dyDescent="0.25">
      <c r="A26" s="31" t="s">
        <v>466</v>
      </c>
      <c r="B26" s="46" t="s">
        <v>491</v>
      </c>
      <c r="C26" s="37">
        <v>5374574.3899999997</v>
      </c>
      <c r="D26" s="37">
        <v>5338696.2891666666</v>
      </c>
      <c r="E26" s="37">
        <v>5302818.1883333335</v>
      </c>
      <c r="F26" s="37">
        <v>5266940.0875000004</v>
      </c>
      <c r="G26" s="37">
        <v>5231061.9866666673</v>
      </c>
      <c r="H26" s="37">
        <v>5195183.8858333342</v>
      </c>
      <c r="I26" s="37">
        <v>5159305.7850000011</v>
      </c>
      <c r="J26" s="37">
        <v>5123427.684166668</v>
      </c>
      <c r="K26" s="37">
        <v>5087549.5833333349</v>
      </c>
      <c r="L26" s="37">
        <v>5051671.4825000018</v>
      </c>
      <c r="M26" s="37">
        <v>5015793.3816666687</v>
      </c>
      <c r="N26" s="37">
        <v>4979915.2808333356</v>
      </c>
      <c r="O26" s="37">
        <v>4944037.18</v>
      </c>
      <c r="P26" s="115" t="s">
        <v>29</v>
      </c>
      <c r="Q26" s="119">
        <f>IFERROR(VLOOKUP(P26,'A22 (Allocation Factors)'!$D:$F,3,0),0)</f>
        <v>0</v>
      </c>
      <c r="R26" s="41">
        <f t="shared" si="1"/>
        <v>0</v>
      </c>
      <c r="S26" s="41">
        <f t="shared" si="2"/>
        <v>0</v>
      </c>
      <c r="T26" s="41">
        <f t="shared" si="3"/>
        <v>0</v>
      </c>
      <c r="U26" s="41">
        <f t="shared" si="4"/>
        <v>0</v>
      </c>
      <c r="V26" s="41">
        <f t="shared" si="5"/>
        <v>0</v>
      </c>
      <c r="W26" s="41">
        <f t="shared" si="6"/>
        <v>0</v>
      </c>
      <c r="X26" s="41">
        <f t="shared" si="7"/>
        <v>0</v>
      </c>
      <c r="Y26" s="41">
        <f t="shared" si="8"/>
        <v>0</v>
      </c>
      <c r="Z26" s="41">
        <f t="shared" si="9"/>
        <v>0</v>
      </c>
      <c r="AA26" s="41">
        <f t="shared" si="10"/>
        <v>0</v>
      </c>
      <c r="AB26" s="41">
        <f t="shared" si="11"/>
        <v>0</v>
      </c>
      <c r="AC26" s="41">
        <f t="shared" si="12"/>
        <v>0</v>
      </c>
      <c r="AD26" s="41">
        <f t="shared" si="13"/>
        <v>0</v>
      </c>
      <c r="AE26" s="31" t="s">
        <v>786</v>
      </c>
      <c r="AF26" s="46" t="s">
        <v>898</v>
      </c>
    </row>
    <row r="27" spans="1:32" x14ac:dyDescent="0.25">
      <c r="A27" s="31" t="s">
        <v>467</v>
      </c>
      <c r="B27" s="46" t="s">
        <v>492</v>
      </c>
      <c r="C27" s="37">
        <v>0</v>
      </c>
      <c r="D27" s="37">
        <v>2714.7691666666665</v>
      </c>
      <c r="E27" s="37">
        <v>5429.538333333333</v>
      </c>
      <c r="F27" s="37">
        <v>8144.307499999999</v>
      </c>
      <c r="G27" s="37">
        <v>10859.076666666666</v>
      </c>
      <c r="H27" s="37">
        <v>13573.845833333333</v>
      </c>
      <c r="I27" s="37">
        <v>16288.615</v>
      </c>
      <c r="J27" s="37">
        <v>19003.384166666667</v>
      </c>
      <c r="K27" s="37">
        <v>21718.153333333332</v>
      </c>
      <c r="L27" s="37">
        <v>24432.922499999997</v>
      </c>
      <c r="M27" s="37">
        <v>27147.691666666662</v>
      </c>
      <c r="N27" s="37">
        <v>29862.460833333327</v>
      </c>
      <c r="O27" s="37">
        <v>32577.23</v>
      </c>
      <c r="P27" s="115" t="s">
        <v>333</v>
      </c>
      <c r="Q27" s="119">
        <f>IFERROR(VLOOKUP(P27,'A22 (Allocation Factors)'!$D:$F,3,0),0)</f>
        <v>0.12132411580047649</v>
      </c>
      <c r="R27" s="41">
        <f t="shared" si="1"/>
        <v>0</v>
      </c>
      <c r="S27" s="41">
        <f t="shared" si="2"/>
        <v>329.36696874822968</v>
      </c>
      <c r="T27" s="41">
        <f t="shared" si="3"/>
        <v>658.73393749645936</v>
      </c>
      <c r="U27" s="41">
        <f t="shared" si="4"/>
        <v>988.10090624468899</v>
      </c>
      <c r="V27" s="41">
        <f t="shared" si="5"/>
        <v>1317.4678749929187</v>
      </c>
      <c r="W27" s="41">
        <f t="shared" si="6"/>
        <v>1646.8348437411485</v>
      </c>
      <c r="X27" s="41">
        <f t="shared" si="7"/>
        <v>1976.2018124893782</v>
      </c>
      <c r="Y27" s="41">
        <f t="shared" si="8"/>
        <v>2305.5687812376082</v>
      </c>
      <c r="Z27" s="41">
        <f t="shared" si="9"/>
        <v>2634.9357499858374</v>
      </c>
      <c r="AA27" s="41">
        <f t="shared" si="10"/>
        <v>2964.3027187340672</v>
      </c>
      <c r="AB27" s="41">
        <f t="shared" si="11"/>
        <v>3293.6696874822965</v>
      </c>
      <c r="AC27" s="41">
        <f t="shared" si="12"/>
        <v>3623.0366562305262</v>
      </c>
      <c r="AD27" s="41">
        <f t="shared" si="13"/>
        <v>3952.4036249787564</v>
      </c>
      <c r="AE27" s="31" t="s">
        <v>785</v>
      </c>
      <c r="AF27" s="46" t="s">
        <v>697</v>
      </c>
    </row>
    <row r="28" spans="1:32" x14ac:dyDescent="0.25">
      <c r="A28" s="31" t="s">
        <v>468</v>
      </c>
      <c r="B28" s="46" t="s">
        <v>493</v>
      </c>
      <c r="C28" s="37">
        <v>0</v>
      </c>
      <c r="D28" s="37">
        <v>76320.147500000006</v>
      </c>
      <c r="E28" s="37">
        <v>152640.29500000001</v>
      </c>
      <c r="F28" s="37">
        <v>228960.4425</v>
      </c>
      <c r="G28" s="37">
        <v>305280.59000000003</v>
      </c>
      <c r="H28" s="37">
        <v>381600.73750000005</v>
      </c>
      <c r="I28" s="37">
        <v>457920.88500000007</v>
      </c>
      <c r="J28" s="37">
        <v>534241.03250000009</v>
      </c>
      <c r="K28" s="37">
        <v>610561.18000000005</v>
      </c>
      <c r="L28" s="37">
        <v>686881.32750000001</v>
      </c>
      <c r="M28" s="37">
        <v>763201.47499999998</v>
      </c>
      <c r="N28" s="37">
        <v>839521.62249999994</v>
      </c>
      <c r="O28" s="37">
        <v>915841.77</v>
      </c>
      <c r="P28" s="115" t="s">
        <v>333</v>
      </c>
      <c r="Q28" s="119">
        <f>IFERROR(VLOOKUP(P28,'A22 (Allocation Factors)'!$D:$F,3,0),0)</f>
        <v>0.12132411580047649</v>
      </c>
      <c r="R28" s="41">
        <f t="shared" si="1"/>
        <v>0</v>
      </c>
      <c r="S28" s="41">
        <f t="shared" si="2"/>
        <v>9259.4744131994466</v>
      </c>
      <c r="T28" s="41">
        <f t="shared" si="3"/>
        <v>18518.948826398893</v>
      </c>
      <c r="U28" s="41">
        <f t="shared" si="4"/>
        <v>27778.423239598338</v>
      </c>
      <c r="V28" s="41">
        <f t="shared" si="5"/>
        <v>37037.897652797787</v>
      </c>
      <c r="W28" s="41">
        <f t="shared" si="6"/>
        <v>46297.372065997239</v>
      </c>
      <c r="X28" s="41">
        <f t="shared" si="7"/>
        <v>55556.846479196684</v>
      </c>
      <c r="Y28" s="41">
        <f t="shared" si="8"/>
        <v>64816.320892396136</v>
      </c>
      <c r="Z28" s="41">
        <f t="shared" si="9"/>
        <v>74075.795305595573</v>
      </c>
      <c r="AA28" s="41">
        <f t="shared" si="10"/>
        <v>83335.269718795011</v>
      </c>
      <c r="AB28" s="41">
        <f t="shared" si="11"/>
        <v>92594.744131994463</v>
      </c>
      <c r="AC28" s="41">
        <f t="shared" si="12"/>
        <v>101854.2185451939</v>
      </c>
      <c r="AD28" s="41">
        <f t="shared" si="13"/>
        <v>111113.69295839335</v>
      </c>
      <c r="AE28" s="31" t="s">
        <v>785</v>
      </c>
      <c r="AF28" s="46" t="s">
        <v>697</v>
      </c>
    </row>
    <row r="29" spans="1:32" x14ac:dyDescent="0.25">
      <c r="A29" s="31" t="s">
        <v>469</v>
      </c>
      <c r="B29" s="46" t="s">
        <v>494</v>
      </c>
      <c r="C29" s="37">
        <v>0</v>
      </c>
      <c r="D29" s="37">
        <v>21112.881666666664</v>
      </c>
      <c r="E29" s="37">
        <v>42225.763333333329</v>
      </c>
      <c r="F29" s="37">
        <v>63338.64499999999</v>
      </c>
      <c r="G29" s="37">
        <v>84451.526666666658</v>
      </c>
      <c r="H29" s="37">
        <v>105564.40833333333</v>
      </c>
      <c r="I29" s="37">
        <v>126677.29</v>
      </c>
      <c r="J29" s="37">
        <v>147790.17166666666</v>
      </c>
      <c r="K29" s="37">
        <v>168903.05333333332</v>
      </c>
      <c r="L29" s="37">
        <v>190015.93499999997</v>
      </c>
      <c r="M29" s="37">
        <v>211128.81666666662</v>
      </c>
      <c r="N29" s="37">
        <v>232241.69833333328</v>
      </c>
      <c r="O29" s="37">
        <v>253354.58</v>
      </c>
      <c r="P29" s="115" t="s">
        <v>333</v>
      </c>
      <c r="Q29" s="119">
        <f>IFERROR(VLOOKUP(P29,'A22 (Allocation Factors)'!$D:$F,3,0),0)</f>
        <v>0.12132411580047649</v>
      </c>
      <c r="R29" s="41">
        <f t="shared" si="1"/>
        <v>0</v>
      </c>
      <c r="S29" s="41">
        <f t="shared" si="2"/>
        <v>2561.5017002084232</v>
      </c>
      <c r="T29" s="41">
        <f t="shared" si="3"/>
        <v>5123.0034004168465</v>
      </c>
      <c r="U29" s="41">
        <f t="shared" si="4"/>
        <v>7684.5051006252697</v>
      </c>
      <c r="V29" s="41">
        <f t="shared" si="5"/>
        <v>10246.006800833693</v>
      </c>
      <c r="W29" s="41">
        <f t="shared" si="6"/>
        <v>12807.508501042117</v>
      </c>
      <c r="X29" s="41">
        <f t="shared" si="7"/>
        <v>15369.010201250541</v>
      </c>
      <c r="Y29" s="41">
        <f t="shared" si="8"/>
        <v>17930.511901458965</v>
      </c>
      <c r="Z29" s="41">
        <f t="shared" si="9"/>
        <v>20492.013601667386</v>
      </c>
      <c r="AA29" s="41">
        <f t="shared" si="10"/>
        <v>23053.51530187581</v>
      </c>
      <c r="AB29" s="41">
        <f t="shared" si="11"/>
        <v>25615.017002084231</v>
      </c>
      <c r="AC29" s="41">
        <f t="shared" si="12"/>
        <v>28176.518702292655</v>
      </c>
      <c r="AD29" s="41">
        <f t="shared" si="13"/>
        <v>30738.020402501083</v>
      </c>
      <c r="AE29" s="31" t="s">
        <v>785</v>
      </c>
      <c r="AF29" s="46" t="s">
        <v>697</v>
      </c>
    </row>
    <row r="30" spans="1:32" x14ac:dyDescent="0.25">
      <c r="A30" s="31" t="s">
        <v>470</v>
      </c>
      <c r="B30" s="46" t="s">
        <v>62</v>
      </c>
      <c r="C30" s="37">
        <v>1012460.69</v>
      </c>
      <c r="D30" s="37">
        <v>1077458.2449999999</v>
      </c>
      <c r="E30" s="37">
        <v>1142455.7999999998</v>
      </c>
      <c r="F30" s="37">
        <v>1207453.3549999997</v>
      </c>
      <c r="G30" s="37">
        <v>1272450.9099999997</v>
      </c>
      <c r="H30" s="37">
        <v>1337448.4649999996</v>
      </c>
      <c r="I30" s="37">
        <v>1402446.0199999996</v>
      </c>
      <c r="J30" s="37">
        <v>1467443.5749999995</v>
      </c>
      <c r="K30" s="37">
        <v>1532441.1299999994</v>
      </c>
      <c r="L30" s="37">
        <v>1597438.6849999994</v>
      </c>
      <c r="M30" s="37">
        <v>1662436.2399999993</v>
      </c>
      <c r="N30" s="37">
        <v>1727433.7949999992</v>
      </c>
      <c r="O30" s="37">
        <v>1792431.35</v>
      </c>
      <c r="P30" s="115" t="s">
        <v>29</v>
      </c>
      <c r="Q30" s="119">
        <f>IFERROR(VLOOKUP(P30,'A22 (Allocation Factors)'!$D:$F,3,0),0)</f>
        <v>0</v>
      </c>
      <c r="R30" s="41">
        <f t="shared" si="1"/>
        <v>0</v>
      </c>
      <c r="S30" s="41">
        <f t="shared" si="2"/>
        <v>0</v>
      </c>
      <c r="T30" s="41">
        <f t="shared" si="3"/>
        <v>0</v>
      </c>
      <c r="U30" s="41">
        <f t="shared" si="4"/>
        <v>0</v>
      </c>
      <c r="V30" s="41">
        <f t="shared" si="5"/>
        <v>0</v>
      </c>
      <c r="W30" s="41">
        <f t="shared" si="6"/>
        <v>0</v>
      </c>
      <c r="X30" s="41">
        <f t="shared" si="7"/>
        <v>0</v>
      </c>
      <c r="Y30" s="41">
        <f t="shared" si="8"/>
        <v>0</v>
      </c>
      <c r="Z30" s="41">
        <f t="shared" si="9"/>
        <v>0</v>
      </c>
      <c r="AA30" s="41">
        <f t="shared" si="10"/>
        <v>0</v>
      </c>
      <c r="AB30" s="41">
        <f t="shared" si="11"/>
        <v>0</v>
      </c>
      <c r="AC30" s="41">
        <f t="shared" si="12"/>
        <v>0</v>
      </c>
      <c r="AD30" s="41">
        <f t="shared" si="13"/>
        <v>0</v>
      </c>
      <c r="AE30" s="31" t="s">
        <v>786</v>
      </c>
      <c r="AF30" s="46" t="s">
        <v>898</v>
      </c>
    </row>
    <row r="31" spans="1:32" x14ac:dyDescent="0.25">
      <c r="A31" s="31" t="s">
        <v>471</v>
      </c>
      <c r="B31" s="46" t="s">
        <v>495</v>
      </c>
      <c r="C31" s="37">
        <v>7238605.8899999997</v>
      </c>
      <c r="D31" s="37">
        <v>7144768.2091666665</v>
      </c>
      <c r="E31" s="37">
        <v>7050930.5283333333</v>
      </c>
      <c r="F31" s="37">
        <v>6957092.8475000001</v>
      </c>
      <c r="G31" s="37">
        <v>6863255.166666667</v>
      </c>
      <c r="H31" s="37">
        <v>6769417.4858333338</v>
      </c>
      <c r="I31" s="37">
        <v>6675579.8050000006</v>
      </c>
      <c r="J31" s="37">
        <v>6581742.1241666675</v>
      </c>
      <c r="K31" s="37">
        <v>6487904.4433333343</v>
      </c>
      <c r="L31" s="37">
        <v>6394066.7625000011</v>
      </c>
      <c r="M31" s="37">
        <v>6300229.0816666679</v>
      </c>
      <c r="N31" s="37">
        <v>6206391.4008333348</v>
      </c>
      <c r="O31" s="37">
        <v>6112553.7199999997</v>
      </c>
      <c r="P31" s="115" t="s">
        <v>288</v>
      </c>
      <c r="Q31" s="119">
        <f>IFERROR(VLOOKUP(P31,'A22 (Allocation Factors)'!$D:$F,3,0),0)</f>
        <v>0.20882221657345243</v>
      </c>
      <c r="R31" s="41">
        <f t="shared" si="1"/>
        <v>1511581.7268514484</v>
      </c>
      <c r="S31" s="41">
        <f t="shared" si="2"/>
        <v>1491986.3343417195</v>
      </c>
      <c r="T31" s="41">
        <f t="shared" si="3"/>
        <v>1472390.9418319906</v>
      </c>
      <c r="U31" s="41">
        <f t="shared" si="4"/>
        <v>1452795.5493222619</v>
      </c>
      <c r="V31" s="41">
        <f t="shared" si="5"/>
        <v>1433200.156812533</v>
      </c>
      <c r="W31" s="41">
        <f t="shared" si="6"/>
        <v>1413604.7643028044</v>
      </c>
      <c r="X31" s="41">
        <f t="shared" si="7"/>
        <v>1394009.3717930755</v>
      </c>
      <c r="Y31" s="41">
        <f t="shared" si="8"/>
        <v>1374413.9792833466</v>
      </c>
      <c r="Z31" s="41">
        <f t="shared" si="9"/>
        <v>1354818.5867736179</v>
      </c>
      <c r="AA31" s="41">
        <f t="shared" si="10"/>
        <v>1335223.194263889</v>
      </c>
      <c r="AB31" s="41">
        <f t="shared" si="11"/>
        <v>1315627.8017541603</v>
      </c>
      <c r="AC31" s="41">
        <f t="shared" si="12"/>
        <v>1296032.4092444314</v>
      </c>
      <c r="AD31" s="41">
        <f t="shared" si="13"/>
        <v>1276437.0167347023</v>
      </c>
      <c r="AE31" s="31" t="s">
        <v>786</v>
      </c>
      <c r="AF31" s="46" t="s">
        <v>769</v>
      </c>
    </row>
    <row r="32" spans="1:32" x14ac:dyDescent="0.25">
      <c r="A32" s="31" t="s">
        <v>472</v>
      </c>
      <c r="B32" s="46" t="s">
        <v>496</v>
      </c>
      <c r="C32" s="37">
        <v>63189.72</v>
      </c>
      <c r="D32" s="37">
        <v>87892.30333333333</v>
      </c>
      <c r="E32" s="37">
        <v>112594.88666666666</v>
      </c>
      <c r="F32" s="37">
        <v>137297.47</v>
      </c>
      <c r="G32" s="37">
        <v>162000.05333333334</v>
      </c>
      <c r="H32" s="37">
        <v>186702.63666666669</v>
      </c>
      <c r="I32" s="37">
        <v>211405.22000000003</v>
      </c>
      <c r="J32" s="37">
        <v>236107.80333333337</v>
      </c>
      <c r="K32" s="37">
        <v>260810.38666666672</v>
      </c>
      <c r="L32" s="37">
        <v>285512.97000000003</v>
      </c>
      <c r="M32" s="37">
        <v>310215.55333333334</v>
      </c>
      <c r="N32" s="37">
        <v>334918.13666666666</v>
      </c>
      <c r="O32" s="37">
        <v>359620.72</v>
      </c>
      <c r="P32" s="115" t="s">
        <v>333</v>
      </c>
      <c r="Q32" s="119">
        <f>IFERROR(VLOOKUP(P32,'A22 (Allocation Factors)'!$D:$F,3,0),0)</f>
        <v>0.12132411580047649</v>
      </c>
      <c r="R32" s="41">
        <f t="shared" si="1"/>
        <v>7666.4369066796853</v>
      </c>
      <c r="S32" s="41">
        <f t="shared" si="2"/>
        <v>10663.455987583939</v>
      </c>
      <c r="T32" s="41">
        <f t="shared" si="3"/>
        <v>13660.475068488191</v>
      </c>
      <c r="U32" s="41">
        <f t="shared" si="4"/>
        <v>16657.494149392445</v>
      </c>
      <c r="V32" s="41">
        <f t="shared" si="5"/>
        <v>19654.513230296703</v>
      </c>
      <c r="W32" s="41">
        <f t="shared" si="6"/>
        <v>22651.532311200957</v>
      </c>
      <c r="X32" s="41">
        <f t="shared" si="7"/>
        <v>25648.551392105212</v>
      </c>
      <c r="Y32" s="41">
        <f t="shared" si="8"/>
        <v>28645.570473009466</v>
      </c>
      <c r="Z32" s="41">
        <f t="shared" si="9"/>
        <v>31642.58955391372</v>
      </c>
      <c r="AA32" s="41">
        <f t="shared" si="10"/>
        <v>34639.608634817974</v>
      </c>
      <c r="AB32" s="41">
        <f t="shared" si="11"/>
        <v>37636.627715722221</v>
      </c>
      <c r="AC32" s="41">
        <f t="shared" si="12"/>
        <v>40633.646796626475</v>
      </c>
      <c r="AD32" s="41">
        <f t="shared" si="13"/>
        <v>43630.66587753073</v>
      </c>
      <c r="AE32" s="31" t="s">
        <v>785</v>
      </c>
      <c r="AF32" s="46" t="s">
        <v>898</v>
      </c>
    </row>
    <row r="33" spans="1:32" x14ac:dyDescent="0.25">
      <c r="A33" s="31" t="s">
        <v>473</v>
      </c>
      <c r="B33" s="46" t="s">
        <v>497</v>
      </c>
      <c r="C33" s="37">
        <v>12734044.689999999</v>
      </c>
      <c r="D33" s="37">
        <v>12601430.779166667</v>
      </c>
      <c r="E33" s="37">
        <v>12468816.868333334</v>
      </c>
      <c r="F33" s="37">
        <v>12336202.957500001</v>
      </c>
      <c r="G33" s="37">
        <v>12203589.046666669</v>
      </c>
      <c r="H33" s="37">
        <v>12070975.135833336</v>
      </c>
      <c r="I33" s="37">
        <v>11938361.225000003</v>
      </c>
      <c r="J33" s="37">
        <v>11805747.314166671</v>
      </c>
      <c r="K33" s="37">
        <v>11673133.403333338</v>
      </c>
      <c r="L33" s="37">
        <v>11540519.492500005</v>
      </c>
      <c r="M33" s="37">
        <v>11407905.581666673</v>
      </c>
      <c r="N33" s="37">
        <v>11275291.67083334</v>
      </c>
      <c r="O33" s="37">
        <v>11142677.76</v>
      </c>
      <c r="P33" s="115" t="s">
        <v>288</v>
      </c>
      <c r="Q33" s="119">
        <f>IFERROR(VLOOKUP(P33,'A22 (Allocation Factors)'!$D:$F,3,0),0)</f>
        <v>0.20882221657345243</v>
      </c>
      <c r="R33" s="41">
        <f t="shared" si="1"/>
        <v>2659151.4381112019</v>
      </c>
      <c r="S33" s="41">
        <f t="shared" si="2"/>
        <v>2631458.7073025112</v>
      </c>
      <c r="T33" s="41">
        <f t="shared" si="3"/>
        <v>2603765.9764938205</v>
      </c>
      <c r="U33" s="41">
        <f t="shared" si="4"/>
        <v>2576073.2456851299</v>
      </c>
      <c r="V33" s="41">
        <f t="shared" si="5"/>
        <v>2548380.5148764388</v>
      </c>
      <c r="W33" s="41">
        <f t="shared" si="6"/>
        <v>2520687.7840677481</v>
      </c>
      <c r="X33" s="41">
        <f t="shared" si="7"/>
        <v>2492995.0532590575</v>
      </c>
      <c r="Y33" s="41">
        <f t="shared" si="8"/>
        <v>2465302.3224503668</v>
      </c>
      <c r="Z33" s="41">
        <f t="shared" si="9"/>
        <v>2437609.5916416761</v>
      </c>
      <c r="AA33" s="41">
        <f t="shared" si="10"/>
        <v>2409916.8608329855</v>
      </c>
      <c r="AB33" s="41">
        <f t="shared" si="11"/>
        <v>2382224.1300242948</v>
      </c>
      <c r="AC33" s="41">
        <f t="shared" si="12"/>
        <v>2354531.3992156042</v>
      </c>
      <c r="AD33" s="41">
        <f t="shared" si="13"/>
        <v>2326838.6684069117</v>
      </c>
      <c r="AE33" s="31" t="s">
        <v>786</v>
      </c>
      <c r="AF33" s="46" t="s">
        <v>769</v>
      </c>
    </row>
    <row r="34" spans="1:32" x14ac:dyDescent="0.25">
      <c r="A34" s="31" t="s">
        <v>474</v>
      </c>
      <c r="B34" s="46" t="s">
        <v>498</v>
      </c>
      <c r="C34" s="37">
        <v>23239445.960000001</v>
      </c>
      <c r="D34" s="37">
        <v>23422457.93</v>
      </c>
      <c r="E34" s="37">
        <v>23605469.899999999</v>
      </c>
      <c r="F34" s="37">
        <v>23788481.869999997</v>
      </c>
      <c r="G34" s="37">
        <v>23971493.839999996</v>
      </c>
      <c r="H34" s="37">
        <v>24154505.809999995</v>
      </c>
      <c r="I34" s="37">
        <v>24337517.779999994</v>
      </c>
      <c r="J34" s="37">
        <v>24520529.749999993</v>
      </c>
      <c r="K34" s="37">
        <v>24703541.719999991</v>
      </c>
      <c r="L34" s="37">
        <v>24886553.68999999</v>
      </c>
      <c r="M34" s="37">
        <v>25069565.659999989</v>
      </c>
      <c r="N34" s="37">
        <v>25252577.629999988</v>
      </c>
      <c r="O34" s="37">
        <v>25435589.600000001</v>
      </c>
      <c r="P34" s="115" t="s">
        <v>29</v>
      </c>
      <c r="Q34" s="119">
        <f>IFERROR(VLOOKUP(P34,'A22 (Allocation Factors)'!$D:$F,3,0),0)</f>
        <v>0</v>
      </c>
      <c r="R34" s="41">
        <f t="shared" si="1"/>
        <v>0</v>
      </c>
      <c r="S34" s="41">
        <f t="shared" si="2"/>
        <v>0</v>
      </c>
      <c r="T34" s="41">
        <f t="shared" si="3"/>
        <v>0</v>
      </c>
      <c r="U34" s="41">
        <f t="shared" si="4"/>
        <v>0</v>
      </c>
      <c r="V34" s="41">
        <f t="shared" si="5"/>
        <v>0</v>
      </c>
      <c r="W34" s="41">
        <f t="shared" si="6"/>
        <v>0</v>
      </c>
      <c r="X34" s="41">
        <f t="shared" si="7"/>
        <v>0</v>
      </c>
      <c r="Y34" s="41">
        <f t="shared" si="8"/>
        <v>0</v>
      </c>
      <c r="Z34" s="41">
        <f t="shared" si="9"/>
        <v>0</v>
      </c>
      <c r="AA34" s="41">
        <f t="shared" si="10"/>
        <v>0</v>
      </c>
      <c r="AB34" s="41">
        <f t="shared" si="11"/>
        <v>0</v>
      </c>
      <c r="AC34" s="41">
        <f t="shared" si="12"/>
        <v>0</v>
      </c>
      <c r="AD34" s="41">
        <f t="shared" si="13"/>
        <v>0</v>
      </c>
      <c r="AE34" s="31" t="s">
        <v>785</v>
      </c>
      <c r="AF34" s="46" t="s">
        <v>695</v>
      </c>
    </row>
    <row r="35" spans="1:32" x14ac:dyDescent="0.25">
      <c r="A35" s="31" t="s">
        <v>475</v>
      </c>
      <c r="B35" s="46" t="s">
        <v>499</v>
      </c>
      <c r="C35" s="37">
        <v>393463.56</v>
      </c>
      <c r="D35" s="37">
        <v>566268.00916666666</v>
      </c>
      <c r="E35" s="37">
        <v>739072.45833333337</v>
      </c>
      <c r="F35" s="37">
        <v>911876.90750000009</v>
      </c>
      <c r="G35" s="37">
        <v>1084681.3566666667</v>
      </c>
      <c r="H35" s="37">
        <v>1257485.8058333334</v>
      </c>
      <c r="I35" s="37">
        <v>1430290.2550000001</v>
      </c>
      <c r="J35" s="37">
        <v>1603094.7041666668</v>
      </c>
      <c r="K35" s="37">
        <v>1775899.1533333336</v>
      </c>
      <c r="L35" s="37">
        <v>1948703.6025000003</v>
      </c>
      <c r="M35" s="37">
        <v>2121508.0516666668</v>
      </c>
      <c r="N35" s="37">
        <v>2294312.5008333335</v>
      </c>
      <c r="O35" s="37">
        <v>2467116.9500000002</v>
      </c>
      <c r="P35" s="115" t="s">
        <v>29</v>
      </c>
      <c r="Q35" s="119">
        <f>IFERROR(VLOOKUP(P35,'A22 (Allocation Factors)'!$D:$F,3,0),0)</f>
        <v>0</v>
      </c>
      <c r="R35" s="41">
        <f t="shared" si="1"/>
        <v>0</v>
      </c>
      <c r="S35" s="41">
        <f t="shared" si="2"/>
        <v>0</v>
      </c>
      <c r="T35" s="41">
        <f t="shared" si="3"/>
        <v>0</v>
      </c>
      <c r="U35" s="41">
        <f t="shared" si="4"/>
        <v>0</v>
      </c>
      <c r="V35" s="41">
        <f t="shared" si="5"/>
        <v>0</v>
      </c>
      <c r="W35" s="41">
        <f t="shared" si="6"/>
        <v>0</v>
      </c>
      <c r="X35" s="41">
        <f t="shared" si="7"/>
        <v>0</v>
      </c>
      <c r="Y35" s="41">
        <f t="shared" si="8"/>
        <v>0</v>
      </c>
      <c r="Z35" s="41">
        <f t="shared" si="9"/>
        <v>0</v>
      </c>
      <c r="AA35" s="41">
        <f t="shared" si="10"/>
        <v>0</v>
      </c>
      <c r="AB35" s="41">
        <f t="shared" si="11"/>
        <v>0</v>
      </c>
      <c r="AC35" s="41">
        <f t="shared" si="12"/>
        <v>0</v>
      </c>
      <c r="AD35" s="41">
        <f t="shared" si="13"/>
        <v>0</v>
      </c>
      <c r="AE35" s="31" t="s">
        <v>786</v>
      </c>
      <c r="AF35" s="46" t="s">
        <v>898</v>
      </c>
    </row>
    <row r="36" spans="1:32" x14ac:dyDescent="0.25">
      <c r="A36" s="31" t="s">
        <v>476</v>
      </c>
      <c r="B36" s="46" t="s">
        <v>500</v>
      </c>
      <c r="C36" s="37">
        <v>42905.01</v>
      </c>
      <c r="D36" s="37">
        <v>42846.575833333336</v>
      </c>
      <c r="E36" s="37">
        <v>42788.14166666667</v>
      </c>
      <c r="F36" s="37">
        <v>42729.707500000004</v>
      </c>
      <c r="G36" s="37">
        <v>42671.273333333338</v>
      </c>
      <c r="H36" s="37">
        <v>42612.839166666672</v>
      </c>
      <c r="I36" s="37">
        <v>42554.405000000006</v>
      </c>
      <c r="J36" s="37">
        <v>42495.97083333334</v>
      </c>
      <c r="K36" s="37">
        <v>42437.536666666674</v>
      </c>
      <c r="L36" s="37">
        <v>42379.102500000008</v>
      </c>
      <c r="M36" s="37">
        <v>42320.668333333342</v>
      </c>
      <c r="N36" s="37">
        <v>42262.234166666676</v>
      </c>
      <c r="O36" s="37">
        <v>42203.8</v>
      </c>
      <c r="P36" s="115" t="s">
        <v>29</v>
      </c>
      <c r="Q36" s="119">
        <f>IFERROR(VLOOKUP(P36,'A22 (Allocation Factors)'!$D:$F,3,0),0)</f>
        <v>0</v>
      </c>
      <c r="R36" s="41">
        <f t="shared" si="1"/>
        <v>0</v>
      </c>
      <c r="S36" s="41">
        <f t="shared" si="2"/>
        <v>0</v>
      </c>
      <c r="T36" s="41">
        <f t="shared" si="3"/>
        <v>0</v>
      </c>
      <c r="U36" s="41">
        <f t="shared" si="4"/>
        <v>0</v>
      </c>
      <c r="V36" s="41">
        <f t="shared" si="5"/>
        <v>0</v>
      </c>
      <c r="W36" s="41">
        <f t="shared" si="6"/>
        <v>0</v>
      </c>
      <c r="X36" s="41">
        <f t="shared" si="7"/>
        <v>0</v>
      </c>
      <c r="Y36" s="41">
        <f t="shared" si="8"/>
        <v>0</v>
      </c>
      <c r="Z36" s="41">
        <f t="shared" si="9"/>
        <v>0</v>
      </c>
      <c r="AA36" s="41">
        <f t="shared" si="10"/>
        <v>0</v>
      </c>
      <c r="AB36" s="41">
        <f t="shared" si="11"/>
        <v>0</v>
      </c>
      <c r="AC36" s="41">
        <f t="shared" si="12"/>
        <v>0</v>
      </c>
      <c r="AD36" s="41">
        <f t="shared" si="13"/>
        <v>0</v>
      </c>
      <c r="AE36" s="31" t="s">
        <v>786</v>
      </c>
      <c r="AF36" s="46" t="s">
        <v>898</v>
      </c>
    </row>
    <row r="37" spans="1:32" x14ac:dyDescent="0.25">
      <c r="A37" s="31" t="s">
        <v>477</v>
      </c>
      <c r="B37" s="46" t="s">
        <v>501</v>
      </c>
      <c r="C37" s="37">
        <v>703315.04</v>
      </c>
      <c r="D37" s="37">
        <v>695969.82916666672</v>
      </c>
      <c r="E37" s="37">
        <v>688624.6183333334</v>
      </c>
      <c r="F37" s="37">
        <v>681279.40750000009</v>
      </c>
      <c r="G37" s="37">
        <v>673934.19666666677</v>
      </c>
      <c r="H37" s="37">
        <v>666588.98583333346</v>
      </c>
      <c r="I37" s="37">
        <v>659243.77500000014</v>
      </c>
      <c r="J37" s="37">
        <v>651898.56416666682</v>
      </c>
      <c r="K37" s="37">
        <v>644553.35333333351</v>
      </c>
      <c r="L37" s="37">
        <v>637208.14250000019</v>
      </c>
      <c r="M37" s="37">
        <v>629862.93166666687</v>
      </c>
      <c r="N37" s="37">
        <v>622517.72083333356</v>
      </c>
      <c r="O37" s="37">
        <v>615172.51</v>
      </c>
      <c r="P37" s="115" t="s">
        <v>29</v>
      </c>
      <c r="Q37" s="119">
        <f>IFERROR(VLOOKUP(P37,'A22 (Allocation Factors)'!$D:$F,3,0),0)</f>
        <v>0</v>
      </c>
      <c r="R37" s="41">
        <f t="shared" si="1"/>
        <v>0</v>
      </c>
      <c r="S37" s="41">
        <f t="shared" si="2"/>
        <v>0</v>
      </c>
      <c r="T37" s="41">
        <f t="shared" si="3"/>
        <v>0</v>
      </c>
      <c r="U37" s="41">
        <f t="shared" si="4"/>
        <v>0</v>
      </c>
      <c r="V37" s="41">
        <f t="shared" si="5"/>
        <v>0</v>
      </c>
      <c r="W37" s="41">
        <f t="shared" si="6"/>
        <v>0</v>
      </c>
      <c r="X37" s="41">
        <f t="shared" si="7"/>
        <v>0</v>
      </c>
      <c r="Y37" s="41">
        <f t="shared" si="8"/>
        <v>0</v>
      </c>
      <c r="Z37" s="41">
        <f t="shared" si="9"/>
        <v>0</v>
      </c>
      <c r="AA37" s="41">
        <f t="shared" si="10"/>
        <v>0</v>
      </c>
      <c r="AB37" s="41">
        <f t="shared" si="11"/>
        <v>0</v>
      </c>
      <c r="AC37" s="41">
        <f t="shared" si="12"/>
        <v>0</v>
      </c>
      <c r="AD37" s="41">
        <f t="shared" si="13"/>
        <v>0</v>
      </c>
      <c r="AE37" s="31" t="s">
        <v>786</v>
      </c>
      <c r="AF37" s="46" t="s">
        <v>898</v>
      </c>
    </row>
    <row r="38" spans="1:32" x14ac:dyDescent="0.25">
      <c r="A38" s="31" t="s">
        <v>357</v>
      </c>
      <c r="B38" s="46" t="s">
        <v>357</v>
      </c>
      <c r="C38" s="37"/>
      <c r="D38" s="37"/>
      <c r="E38" s="37"/>
      <c r="F38" s="37"/>
      <c r="G38" s="37"/>
      <c r="H38" s="37"/>
      <c r="I38" s="37"/>
      <c r="J38" s="37"/>
      <c r="K38" s="37"/>
      <c r="L38" s="37"/>
      <c r="M38" s="37"/>
      <c r="N38" s="37"/>
      <c r="O38" s="37"/>
      <c r="P38" s="115" t="s">
        <v>357</v>
      </c>
      <c r="Q38" s="119">
        <f>IFERROR(VLOOKUP(P38,'A22 (Allocation Factors)'!$D:$F,3,0),0)</f>
        <v>0</v>
      </c>
      <c r="R38" s="41">
        <f t="shared" si="1"/>
        <v>0</v>
      </c>
      <c r="S38" s="41">
        <f t="shared" si="2"/>
        <v>0</v>
      </c>
      <c r="T38" s="41">
        <f t="shared" si="3"/>
        <v>0</v>
      </c>
      <c r="U38" s="41">
        <f t="shared" si="4"/>
        <v>0</v>
      </c>
      <c r="V38" s="41">
        <f t="shared" si="5"/>
        <v>0</v>
      </c>
      <c r="W38" s="41">
        <f t="shared" si="6"/>
        <v>0</v>
      </c>
      <c r="X38" s="41">
        <f t="shared" si="7"/>
        <v>0</v>
      </c>
      <c r="Y38" s="41">
        <f t="shared" si="8"/>
        <v>0</v>
      </c>
      <c r="Z38" s="41">
        <f t="shared" si="9"/>
        <v>0</v>
      </c>
      <c r="AA38" s="41">
        <f t="shared" si="10"/>
        <v>0</v>
      </c>
      <c r="AB38" s="41">
        <f t="shared" si="11"/>
        <v>0</v>
      </c>
      <c r="AC38" s="41">
        <f t="shared" si="12"/>
        <v>0</v>
      </c>
      <c r="AD38" s="41">
        <f t="shared" si="13"/>
        <v>0</v>
      </c>
      <c r="AE38" s="31" t="s">
        <v>357</v>
      </c>
      <c r="AF38" s="46" t="s">
        <v>357</v>
      </c>
    </row>
    <row r="39" spans="1:32" x14ac:dyDescent="0.25">
      <c r="A39" s="100" t="s">
        <v>478</v>
      </c>
      <c r="B39" s="48" t="s">
        <v>357</v>
      </c>
      <c r="C39" s="20"/>
      <c r="D39" s="37"/>
      <c r="E39" s="37"/>
      <c r="F39" s="37"/>
      <c r="G39" s="37"/>
      <c r="H39" s="37"/>
      <c r="I39" s="37"/>
      <c r="J39" s="37"/>
      <c r="K39" s="37"/>
      <c r="L39" s="37"/>
      <c r="M39" s="37"/>
      <c r="N39" s="37"/>
      <c r="O39" s="20"/>
      <c r="P39" s="116" t="s">
        <v>357</v>
      </c>
      <c r="Q39" s="120">
        <f>IFERROR(VLOOKUP(P39,'A22 (Allocation Factors)'!$D:$F,3,0),0)</f>
        <v>0</v>
      </c>
      <c r="R39" s="41">
        <f t="shared" si="1"/>
        <v>0</v>
      </c>
      <c r="S39" s="41">
        <f t="shared" si="2"/>
        <v>0</v>
      </c>
      <c r="T39" s="41">
        <f t="shared" si="3"/>
        <v>0</v>
      </c>
      <c r="U39" s="41">
        <f t="shared" si="4"/>
        <v>0</v>
      </c>
      <c r="V39" s="41">
        <f t="shared" si="5"/>
        <v>0</v>
      </c>
      <c r="W39" s="41">
        <f t="shared" si="6"/>
        <v>0</v>
      </c>
      <c r="X39" s="41">
        <f t="shared" si="7"/>
        <v>0</v>
      </c>
      <c r="Y39" s="41">
        <f t="shared" si="8"/>
        <v>0</v>
      </c>
      <c r="Z39" s="41">
        <f t="shared" si="9"/>
        <v>0</v>
      </c>
      <c r="AA39" s="41">
        <f t="shared" si="10"/>
        <v>0</v>
      </c>
      <c r="AB39" s="41">
        <f t="shared" si="11"/>
        <v>0</v>
      </c>
      <c r="AC39" s="41">
        <f t="shared" si="12"/>
        <v>0</v>
      </c>
      <c r="AD39" s="41">
        <f t="shared" si="13"/>
        <v>0</v>
      </c>
      <c r="AE39" s="31" t="s">
        <v>357</v>
      </c>
      <c r="AF39" s="46" t="s">
        <v>357</v>
      </c>
    </row>
    <row r="40" spans="1:32" s="6" customFormat="1" x14ac:dyDescent="0.25">
      <c r="A40" s="88">
        <v>2</v>
      </c>
      <c r="B40" s="89" t="str">
        <f>"Total Account No. 190 (Sum Lns. "&amp;A13&amp;" through "&amp;A39&amp;")"</f>
        <v>Total Account No. 190 (Sum Lns. 1a through 1zz)</v>
      </c>
      <c r="C40" s="90">
        <f>SUM(C13:C39)</f>
        <v>177952553.70999998</v>
      </c>
      <c r="D40" s="90">
        <f t="shared" ref="D40:O40" si="14">SUM(D13:D39)</f>
        <v>177979975.83500001</v>
      </c>
      <c r="E40" s="90">
        <f t="shared" si="14"/>
        <v>178007397.96000001</v>
      </c>
      <c r="F40" s="90">
        <f t="shared" si="14"/>
        <v>178034820.08500004</v>
      </c>
      <c r="G40" s="90">
        <f t="shared" si="14"/>
        <v>178062242.21000001</v>
      </c>
      <c r="H40" s="90">
        <f t="shared" si="14"/>
        <v>178089664.33500001</v>
      </c>
      <c r="I40" s="90">
        <f t="shared" si="14"/>
        <v>178117086.46000001</v>
      </c>
      <c r="J40" s="90">
        <f t="shared" si="14"/>
        <v>178144508.58500004</v>
      </c>
      <c r="K40" s="90">
        <f t="shared" si="14"/>
        <v>178171930.70999995</v>
      </c>
      <c r="L40" s="90">
        <f t="shared" si="14"/>
        <v>178199352.83500001</v>
      </c>
      <c r="M40" s="90">
        <f t="shared" si="14"/>
        <v>178226774.96000001</v>
      </c>
      <c r="N40" s="90">
        <f t="shared" si="14"/>
        <v>178254197.08499998</v>
      </c>
      <c r="O40" s="90">
        <f t="shared" si="14"/>
        <v>178281619.20999998</v>
      </c>
      <c r="P40" s="90"/>
      <c r="Q40" s="90"/>
      <c r="R40" s="90">
        <f t="shared" ref="R40" si="15">SUM(R13:R39)</f>
        <v>8061097.907151347</v>
      </c>
      <c r="S40" s="90">
        <f t="shared" ref="S40" si="16">SUM(S13:S39)</f>
        <v>8054329.3079088535</v>
      </c>
      <c r="T40" s="90">
        <f t="shared" ref="T40" si="17">SUM(T13:T39)</f>
        <v>8047560.7086663609</v>
      </c>
      <c r="U40" s="90">
        <f t="shared" ref="U40" si="18">SUM(U13:U39)</f>
        <v>8040792.1094238684</v>
      </c>
      <c r="V40" s="90">
        <f t="shared" ref="V40" si="19">SUM(V13:V39)</f>
        <v>8034023.5101813748</v>
      </c>
      <c r="W40" s="90">
        <f t="shared" ref="W40" si="20">SUM(W13:W39)</f>
        <v>8027254.9109388823</v>
      </c>
      <c r="X40" s="90">
        <f t="shared" ref="X40" si="21">SUM(X13:X39)</f>
        <v>8020486.3116963878</v>
      </c>
      <c r="Y40" s="90">
        <f t="shared" ref="Y40" si="22">SUM(Y13:Y39)</f>
        <v>8013717.7124538952</v>
      </c>
      <c r="Z40" s="90">
        <f t="shared" ref="Z40" si="23">SUM(Z13:Z39)</f>
        <v>8006949.1132114027</v>
      </c>
      <c r="AA40" s="90">
        <f t="shared" ref="AA40" si="24">SUM(AA13:AA39)</f>
        <v>8000180.5139689092</v>
      </c>
      <c r="AB40" s="90">
        <f t="shared" ref="AB40" si="25">SUM(AB13:AB39)</f>
        <v>7993411.9147264156</v>
      </c>
      <c r="AC40" s="90">
        <f t="shared" ref="AC40" si="26">SUM(AC13:AC39)</f>
        <v>7986643.3154839221</v>
      </c>
      <c r="AD40" s="90">
        <f t="shared" ref="AD40" si="27">SUM(AD13:AD39)</f>
        <v>7979874.7162414268</v>
      </c>
      <c r="AE40" s="90"/>
      <c r="AF40" s="90"/>
    </row>
    <row r="41" spans="1:32" s="6" customFormat="1" x14ac:dyDescent="0.25">
      <c r="A41" s="16"/>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row>
    <row r="42" spans="1:32" s="127" customFormat="1" x14ac:dyDescent="0.25">
      <c r="A42" s="126">
        <f>A40+1</f>
        <v>3</v>
      </c>
      <c r="B42" s="127" t="s">
        <v>775</v>
      </c>
      <c r="C42" s="128">
        <f>SUMIF($AE$13:$AE$39,"Yes",C$13:C$39)</f>
        <v>64396565.169999994</v>
      </c>
      <c r="D42" s="128">
        <f t="shared" ref="D42:O42" si="28">SUMIF($AE$13:$AE$39,"Yes",D$13:D$39)</f>
        <v>64983710.409166671</v>
      </c>
      <c r="E42" s="128">
        <f t="shared" si="28"/>
        <v>65570855.648333333</v>
      </c>
      <c r="F42" s="128">
        <f t="shared" si="28"/>
        <v>66158000.887499996</v>
      </c>
      <c r="G42" s="128">
        <f t="shared" si="28"/>
        <v>66745146.126666665</v>
      </c>
      <c r="H42" s="128">
        <f t="shared" si="28"/>
        <v>67332291.365833312</v>
      </c>
      <c r="I42" s="128">
        <f t="shared" si="28"/>
        <v>67919436.604999989</v>
      </c>
      <c r="J42" s="128">
        <f t="shared" si="28"/>
        <v>68506581.844166666</v>
      </c>
      <c r="K42" s="128">
        <f t="shared" si="28"/>
        <v>69093727.083333313</v>
      </c>
      <c r="L42" s="128">
        <f t="shared" si="28"/>
        <v>69680872.32249999</v>
      </c>
      <c r="M42" s="128">
        <f t="shared" si="28"/>
        <v>70268017.561666667</v>
      </c>
      <c r="N42" s="128">
        <f t="shared" si="28"/>
        <v>70855162.800833315</v>
      </c>
      <c r="O42" s="128">
        <f t="shared" si="28"/>
        <v>71442308.039999992</v>
      </c>
      <c r="P42" s="128"/>
      <c r="Q42" s="128"/>
      <c r="R42" s="128">
        <f>SUMIF($AE$13:$AE$39,"Yes",R$13:R$39)</f>
        <v>3890364.7421886972</v>
      </c>
      <c r="S42" s="128">
        <f t="shared" ref="S42:AD42" si="29">SUMIF($AE$13:$AE$39,"Yes",S$13:S$39)</f>
        <v>3930884.266264623</v>
      </c>
      <c r="T42" s="128">
        <f t="shared" si="29"/>
        <v>3971403.7903405502</v>
      </c>
      <c r="U42" s="128">
        <f t="shared" si="29"/>
        <v>4011923.3144164765</v>
      </c>
      <c r="V42" s="128">
        <f t="shared" si="29"/>
        <v>4052442.8384924033</v>
      </c>
      <c r="W42" s="128">
        <f t="shared" si="29"/>
        <v>4092962.3625683296</v>
      </c>
      <c r="X42" s="128">
        <f t="shared" si="29"/>
        <v>4133481.8866442554</v>
      </c>
      <c r="Y42" s="128">
        <f t="shared" si="29"/>
        <v>4174001.4107201812</v>
      </c>
      <c r="Z42" s="128">
        <f t="shared" si="29"/>
        <v>4214520.9347961079</v>
      </c>
      <c r="AA42" s="128">
        <f t="shared" si="29"/>
        <v>4255040.4588720342</v>
      </c>
      <c r="AB42" s="128">
        <f t="shared" si="29"/>
        <v>4295559.9829479614</v>
      </c>
      <c r="AC42" s="128">
        <f t="shared" si="29"/>
        <v>4336079.5070238868</v>
      </c>
      <c r="AD42" s="128">
        <f t="shared" si="29"/>
        <v>4376599.0310998121</v>
      </c>
      <c r="AE42" s="128"/>
      <c r="AF42" s="128"/>
    </row>
    <row r="43" spans="1:32" s="127" customFormat="1" hidden="1" x14ac:dyDescent="0.25">
      <c r="A43" s="126"/>
      <c r="C43" s="128"/>
      <c r="D43" s="128"/>
      <c r="E43" s="128"/>
      <c r="F43" s="128"/>
      <c r="G43" s="128"/>
      <c r="H43" s="128"/>
      <c r="I43" s="128"/>
      <c r="J43" s="128"/>
      <c r="K43" s="128"/>
      <c r="L43" s="128"/>
      <c r="M43" s="128"/>
      <c r="N43" s="128"/>
      <c r="O43" s="128"/>
      <c r="P43" s="128"/>
      <c r="Q43" s="128"/>
      <c r="R43" s="128"/>
      <c r="S43" s="128">
        <f>S42-R42</f>
        <v>40519.524075925816</v>
      </c>
      <c r="T43" s="128">
        <f t="shared" ref="T43:AD43" si="30">T42-S42</f>
        <v>40519.524075927213</v>
      </c>
      <c r="U43" s="128">
        <f t="shared" si="30"/>
        <v>40519.524075926282</v>
      </c>
      <c r="V43" s="128">
        <f t="shared" si="30"/>
        <v>40519.524075926747</v>
      </c>
      <c r="W43" s="128">
        <f t="shared" si="30"/>
        <v>40519.524075926282</v>
      </c>
      <c r="X43" s="128">
        <f t="shared" si="30"/>
        <v>40519.524075925816</v>
      </c>
      <c r="Y43" s="128">
        <f t="shared" si="30"/>
        <v>40519.524075925816</v>
      </c>
      <c r="Z43" s="128">
        <f t="shared" si="30"/>
        <v>40519.524075926747</v>
      </c>
      <c r="AA43" s="128">
        <f t="shared" si="30"/>
        <v>40519.524075926282</v>
      </c>
      <c r="AB43" s="128">
        <f t="shared" si="30"/>
        <v>40519.524075927213</v>
      </c>
      <c r="AC43" s="128">
        <f t="shared" si="30"/>
        <v>40519.52407592535</v>
      </c>
      <c r="AD43" s="128">
        <f t="shared" si="30"/>
        <v>40519.52407592535</v>
      </c>
      <c r="AE43" s="128"/>
      <c r="AF43" s="128"/>
    </row>
    <row r="44" spans="1:32" s="127" customFormat="1" x14ac:dyDescent="0.25">
      <c r="A44" s="126">
        <f>A42+1</f>
        <v>4</v>
      </c>
      <c r="B44" s="127" t="s">
        <v>776</v>
      </c>
      <c r="C44" s="128">
        <f>SUMIF($AE$13:$AE$39,"No",C$13:C$39)</f>
        <v>113555988.54000001</v>
      </c>
      <c r="D44" s="128">
        <f t="shared" ref="D44:O44" si="31">SUMIF($AE$13:$AE$39,"No",D$13:D$39)</f>
        <v>112996265.42583334</v>
      </c>
      <c r="E44" s="128">
        <f t="shared" si="31"/>
        <v>112436542.31166667</v>
      </c>
      <c r="F44" s="128">
        <f t="shared" si="31"/>
        <v>111876819.19750001</v>
      </c>
      <c r="G44" s="128">
        <f t="shared" si="31"/>
        <v>111317096.08333334</v>
      </c>
      <c r="H44" s="128">
        <f t="shared" si="31"/>
        <v>110757372.96916668</v>
      </c>
      <c r="I44" s="128">
        <f t="shared" si="31"/>
        <v>110197649.855</v>
      </c>
      <c r="J44" s="128">
        <f t="shared" si="31"/>
        <v>109637926.74083334</v>
      </c>
      <c r="K44" s="128">
        <f t="shared" si="31"/>
        <v>109078203.62666667</v>
      </c>
      <c r="L44" s="128">
        <f t="shared" si="31"/>
        <v>108518480.51250003</v>
      </c>
      <c r="M44" s="128">
        <f t="shared" si="31"/>
        <v>107958757.39833336</v>
      </c>
      <c r="N44" s="128">
        <f t="shared" si="31"/>
        <v>107399034.28416668</v>
      </c>
      <c r="O44" s="128">
        <f t="shared" si="31"/>
        <v>106839311.17000002</v>
      </c>
      <c r="P44" s="128"/>
      <c r="Q44" s="128"/>
      <c r="R44" s="128">
        <f>SUMIF($AE$13:$AE$39,"No",R$13:R$39)</f>
        <v>4170733.1649626503</v>
      </c>
      <c r="S44" s="128">
        <f t="shared" ref="S44:AD44" si="32">SUMIF($AE$13:$AE$39,"No",S$13:S$39)</f>
        <v>4123445.0416442305</v>
      </c>
      <c r="T44" s="128">
        <f t="shared" si="32"/>
        <v>4076156.9183258112</v>
      </c>
      <c r="U44" s="128">
        <f t="shared" si="32"/>
        <v>4028868.7950073918</v>
      </c>
      <c r="V44" s="128">
        <f t="shared" si="32"/>
        <v>3981580.671688972</v>
      </c>
      <c r="W44" s="128">
        <f t="shared" si="32"/>
        <v>3934292.5483705522</v>
      </c>
      <c r="X44" s="128">
        <f t="shared" si="32"/>
        <v>3887004.4250521329</v>
      </c>
      <c r="Y44" s="128">
        <f t="shared" si="32"/>
        <v>3839716.3017337136</v>
      </c>
      <c r="Z44" s="128">
        <f t="shared" si="32"/>
        <v>3792428.1784152938</v>
      </c>
      <c r="AA44" s="128">
        <f t="shared" si="32"/>
        <v>3745140.0550968745</v>
      </c>
      <c r="AB44" s="128">
        <f t="shared" si="32"/>
        <v>3697851.9317784552</v>
      </c>
      <c r="AC44" s="128">
        <f t="shared" si="32"/>
        <v>3650563.8084600354</v>
      </c>
      <c r="AD44" s="128">
        <f t="shared" si="32"/>
        <v>3603275.6851416137</v>
      </c>
      <c r="AE44" s="128"/>
      <c r="AF44" s="128"/>
    </row>
    <row r="45" spans="1:32" x14ac:dyDescent="0.25">
      <c r="C45" s="10"/>
      <c r="D45" s="10"/>
      <c r="E45" s="10"/>
      <c r="F45" s="10"/>
      <c r="G45" s="10"/>
      <c r="H45" s="10"/>
      <c r="I45" s="10"/>
      <c r="J45" s="10"/>
      <c r="K45" s="10"/>
      <c r="L45" s="10"/>
      <c r="M45" s="10"/>
      <c r="N45" s="10"/>
      <c r="O45" s="10"/>
    </row>
    <row r="46" spans="1:32" ht="18.75" x14ac:dyDescent="0.25">
      <c r="A46" s="89" t="s">
        <v>909</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row>
    <row r="47" spans="1:32" x14ac:dyDescent="0.25">
      <c r="A47" s="31" t="s">
        <v>354</v>
      </c>
      <c r="B47" s="46" t="s">
        <v>503</v>
      </c>
      <c r="C47" s="37">
        <v>-1987269.82</v>
      </c>
      <c r="D47" s="37">
        <v>-1989214.3341666667</v>
      </c>
      <c r="E47" s="37">
        <v>-1991158.8483333334</v>
      </c>
      <c r="F47" s="37">
        <v>-1993103.3625</v>
      </c>
      <c r="G47" s="37">
        <v>-1995047.8766666667</v>
      </c>
      <c r="H47" s="37">
        <v>-1996992.3908333334</v>
      </c>
      <c r="I47" s="37">
        <v>-1998936.905</v>
      </c>
      <c r="J47" s="37">
        <v>-2000881.4191666667</v>
      </c>
      <c r="K47" s="37">
        <v>-2002825.9333333333</v>
      </c>
      <c r="L47" s="37">
        <v>-2004770.4475</v>
      </c>
      <c r="M47" s="37">
        <v>-2006714.9616666667</v>
      </c>
      <c r="N47" s="37">
        <v>-2008659.4758333333</v>
      </c>
      <c r="O47" s="37">
        <v>-2010603.99</v>
      </c>
      <c r="P47" s="114" t="s">
        <v>29</v>
      </c>
      <c r="Q47" s="118">
        <f>IFERROR(VLOOKUP(P47,'A22 (Allocation Factors)'!$D:$F,3,0),0)</f>
        <v>0</v>
      </c>
      <c r="R47" s="41">
        <f t="shared" ref="R47" si="33">C47*$Q47</f>
        <v>0</v>
      </c>
      <c r="S47" s="41">
        <f t="shared" ref="S47" si="34">D47*$Q47</f>
        <v>0</v>
      </c>
      <c r="T47" s="41">
        <f t="shared" ref="T47" si="35">E47*$Q47</f>
        <v>0</v>
      </c>
      <c r="U47" s="41">
        <f t="shared" ref="U47" si="36">F47*$Q47</f>
        <v>0</v>
      </c>
      <c r="V47" s="41">
        <f t="shared" ref="V47" si="37">G47*$Q47</f>
        <v>0</v>
      </c>
      <c r="W47" s="41">
        <f t="shared" ref="W47" si="38">H47*$Q47</f>
        <v>0</v>
      </c>
      <c r="X47" s="41">
        <f t="shared" ref="X47" si="39">I47*$Q47</f>
        <v>0</v>
      </c>
      <c r="Y47" s="41">
        <f t="shared" ref="Y47" si="40">J47*$Q47</f>
        <v>0</v>
      </c>
      <c r="Z47" s="41">
        <f t="shared" ref="Z47" si="41">K47*$Q47</f>
        <v>0</v>
      </c>
      <c r="AA47" s="41">
        <f t="shared" ref="AA47" si="42">L47*$Q47</f>
        <v>0</v>
      </c>
      <c r="AB47" s="41">
        <f t="shared" ref="AB47" si="43">M47*$Q47</f>
        <v>0</v>
      </c>
      <c r="AC47" s="41">
        <f t="shared" ref="AC47" si="44">N47*$Q47</f>
        <v>0</v>
      </c>
      <c r="AD47" s="41">
        <f t="shared" ref="AD47" si="45">O47*$Q47</f>
        <v>0</v>
      </c>
      <c r="AE47" s="31" t="s">
        <v>786</v>
      </c>
      <c r="AF47" s="46" t="s">
        <v>698</v>
      </c>
    </row>
    <row r="48" spans="1:32" x14ac:dyDescent="0.25">
      <c r="A48" s="31" t="s">
        <v>355</v>
      </c>
      <c r="B48" s="46" t="s">
        <v>504</v>
      </c>
      <c r="C48" s="37">
        <v>-26728615.460000001</v>
      </c>
      <c r="D48" s="37">
        <v>-26693544.072500002</v>
      </c>
      <c r="E48" s="37">
        <v>-26658472.685000002</v>
      </c>
      <c r="F48" s="37">
        <v>-26623401.297500003</v>
      </c>
      <c r="G48" s="37">
        <v>-26588329.910000004</v>
      </c>
      <c r="H48" s="37">
        <v>-26553258.522500005</v>
      </c>
      <c r="I48" s="37">
        <v>-26518187.135000005</v>
      </c>
      <c r="J48" s="37">
        <v>-26483115.747500006</v>
      </c>
      <c r="K48" s="37">
        <v>-26448044.360000007</v>
      </c>
      <c r="L48" s="37">
        <v>-26412972.972500008</v>
      </c>
      <c r="M48" s="37">
        <v>-26377901.585000008</v>
      </c>
      <c r="N48" s="37">
        <v>-26342830.197500009</v>
      </c>
      <c r="O48" s="37">
        <v>-26307758.809999999</v>
      </c>
      <c r="P48" s="115" t="s">
        <v>29</v>
      </c>
      <c r="Q48" s="119">
        <f>IFERROR(VLOOKUP(P48,'A22 (Allocation Factors)'!$D:$F,3,0),0)</f>
        <v>0</v>
      </c>
      <c r="R48" s="41">
        <f t="shared" ref="R48:R56" si="46">C48*$Q48</f>
        <v>0</v>
      </c>
      <c r="S48" s="41">
        <f t="shared" ref="S48:S56" si="47">D48*$Q48</f>
        <v>0</v>
      </c>
      <c r="T48" s="41">
        <f t="shared" ref="T48:T56" si="48">E48*$Q48</f>
        <v>0</v>
      </c>
      <c r="U48" s="41">
        <f t="shared" ref="U48:U56" si="49">F48*$Q48</f>
        <v>0</v>
      </c>
      <c r="V48" s="41">
        <f t="shared" ref="V48:V56" si="50">G48*$Q48</f>
        <v>0</v>
      </c>
      <c r="W48" s="41">
        <f t="shared" ref="W48:W56" si="51">H48*$Q48</f>
        <v>0</v>
      </c>
      <c r="X48" s="41">
        <f t="shared" ref="X48:X56" si="52">I48*$Q48</f>
        <v>0</v>
      </c>
      <c r="Y48" s="41">
        <f t="shared" ref="Y48:Y56" si="53">J48*$Q48</f>
        <v>0</v>
      </c>
      <c r="Z48" s="41">
        <f t="shared" ref="Z48:Z56" si="54">K48*$Q48</f>
        <v>0</v>
      </c>
      <c r="AA48" s="41">
        <f t="shared" ref="AA48:AA56" si="55">L48*$Q48</f>
        <v>0</v>
      </c>
      <c r="AB48" s="41">
        <f t="shared" ref="AB48:AB56" si="56">M48*$Q48</f>
        <v>0</v>
      </c>
      <c r="AC48" s="41">
        <f t="shared" ref="AC48:AC56" si="57">N48*$Q48</f>
        <v>0</v>
      </c>
      <c r="AD48" s="41">
        <f t="shared" ref="AD48:AD56" si="58">O48*$Q48</f>
        <v>0</v>
      </c>
      <c r="AE48" s="31" t="s">
        <v>786</v>
      </c>
      <c r="AF48" s="46" t="s">
        <v>699</v>
      </c>
    </row>
    <row r="49" spans="1:32" x14ac:dyDescent="0.25">
      <c r="A49" s="31" t="s">
        <v>356</v>
      </c>
      <c r="B49" s="46" t="s">
        <v>505</v>
      </c>
      <c r="C49" s="37">
        <v>-1825478.82</v>
      </c>
      <c r="D49" s="37">
        <v>-1810950.4158333335</v>
      </c>
      <c r="E49" s="37">
        <v>-1796422.0116666667</v>
      </c>
      <c r="F49" s="37">
        <v>-1781893.6074999999</v>
      </c>
      <c r="G49" s="37">
        <v>-1767365.2033333331</v>
      </c>
      <c r="H49" s="37">
        <v>-1752836.7991666663</v>
      </c>
      <c r="I49" s="37">
        <v>-1738308.3949999996</v>
      </c>
      <c r="J49" s="37">
        <v>-1723779.9908333328</v>
      </c>
      <c r="K49" s="37">
        <v>-1709251.586666666</v>
      </c>
      <c r="L49" s="37">
        <v>-1694723.1824999992</v>
      </c>
      <c r="M49" s="37">
        <v>-1680194.7783333324</v>
      </c>
      <c r="N49" s="37">
        <v>-1665666.3741666656</v>
      </c>
      <c r="O49" s="37">
        <v>-1651137.97</v>
      </c>
      <c r="P49" s="115" t="s">
        <v>29</v>
      </c>
      <c r="Q49" s="119">
        <f>IFERROR(VLOOKUP(P49,'A22 (Allocation Factors)'!$D:$F,3,0),0)</f>
        <v>0</v>
      </c>
      <c r="R49" s="41">
        <f t="shared" si="46"/>
        <v>0</v>
      </c>
      <c r="S49" s="41">
        <f t="shared" si="47"/>
        <v>0</v>
      </c>
      <c r="T49" s="41">
        <f t="shared" si="48"/>
        <v>0</v>
      </c>
      <c r="U49" s="41">
        <f t="shared" si="49"/>
        <v>0</v>
      </c>
      <c r="V49" s="41">
        <f t="shared" si="50"/>
        <v>0</v>
      </c>
      <c r="W49" s="41">
        <f t="shared" si="51"/>
        <v>0</v>
      </c>
      <c r="X49" s="41">
        <f t="shared" si="52"/>
        <v>0</v>
      </c>
      <c r="Y49" s="41">
        <f t="shared" si="53"/>
        <v>0</v>
      </c>
      <c r="Z49" s="41">
        <f t="shared" si="54"/>
        <v>0</v>
      </c>
      <c r="AA49" s="41">
        <f t="shared" si="55"/>
        <v>0</v>
      </c>
      <c r="AB49" s="41">
        <f t="shared" si="56"/>
        <v>0</v>
      </c>
      <c r="AC49" s="41">
        <f t="shared" si="57"/>
        <v>0</v>
      </c>
      <c r="AD49" s="41">
        <f t="shared" si="58"/>
        <v>0</v>
      </c>
      <c r="AE49" s="31" t="s">
        <v>786</v>
      </c>
      <c r="AF49" s="46" t="s">
        <v>698</v>
      </c>
    </row>
    <row r="50" spans="1:32" x14ac:dyDescent="0.25">
      <c r="A50" s="31" t="s">
        <v>511</v>
      </c>
      <c r="B50" s="46" t="s">
        <v>485</v>
      </c>
      <c r="C50" s="37">
        <v>-27558466.34</v>
      </c>
      <c r="D50" s="37">
        <v>-27570684.885833334</v>
      </c>
      <c r="E50" s="37">
        <v>-27582903.431666669</v>
      </c>
      <c r="F50" s="37">
        <v>-27595121.977500003</v>
      </c>
      <c r="G50" s="37">
        <v>-27607340.523333337</v>
      </c>
      <c r="H50" s="37">
        <v>-27619559.069166671</v>
      </c>
      <c r="I50" s="37">
        <v>-27631777.615000006</v>
      </c>
      <c r="J50" s="37">
        <v>-27643996.16083334</v>
      </c>
      <c r="K50" s="37">
        <v>-27656214.706666674</v>
      </c>
      <c r="L50" s="37">
        <v>-27668433.252500009</v>
      </c>
      <c r="M50" s="37">
        <v>-27680651.798333343</v>
      </c>
      <c r="N50" s="37">
        <v>-27692870.344166677</v>
      </c>
      <c r="O50" s="37">
        <v>-27705088.890000001</v>
      </c>
      <c r="P50" s="115" t="s">
        <v>333</v>
      </c>
      <c r="Q50" s="119">
        <f>IFERROR(VLOOKUP(P50,'A22 (Allocation Factors)'!$D:$F,3,0),0)</f>
        <v>0.12132411580047649</v>
      </c>
      <c r="R50" s="41">
        <f t="shared" si="46"/>
        <v>-3343506.5615176936</v>
      </c>
      <c r="S50" s="41">
        <f t="shared" si="47"/>
        <v>-3344988.9657872901</v>
      </c>
      <c r="T50" s="41">
        <f t="shared" si="48"/>
        <v>-3346471.3700568872</v>
      </c>
      <c r="U50" s="41">
        <f t="shared" si="49"/>
        <v>-3347953.7743264842</v>
      </c>
      <c r="V50" s="41">
        <f t="shared" si="50"/>
        <v>-3349436.1785960807</v>
      </c>
      <c r="W50" s="41">
        <f t="shared" si="51"/>
        <v>-3350918.5828656778</v>
      </c>
      <c r="X50" s="41">
        <f t="shared" si="52"/>
        <v>-3352400.9871352748</v>
      </c>
      <c r="Y50" s="41">
        <f t="shared" si="53"/>
        <v>-3353883.3914048714</v>
      </c>
      <c r="Z50" s="41">
        <f t="shared" si="54"/>
        <v>-3355365.7956744684</v>
      </c>
      <c r="AA50" s="41">
        <f t="shared" si="55"/>
        <v>-3356848.1999440654</v>
      </c>
      <c r="AB50" s="41">
        <f t="shared" si="56"/>
        <v>-3358330.6042136624</v>
      </c>
      <c r="AC50" s="41">
        <f t="shared" si="57"/>
        <v>-3359813.008483259</v>
      </c>
      <c r="AD50" s="41">
        <f t="shared" si="58"/>
        <v>-3361295.4127528546</v>
      </c>
      <c r="AE50" s="31" t="s">
        <v>785</v>
      </c>
      <c r="AF50" s="46" t="s">
        <v>770</v>
      </c>
    </row>
    <row r="51" spans="1:32" x14ac:dyDescent="0.25">
      <c r="A51" s="31" t="s">
        <v>512</v>
      </c>
      <c r="B51" s="46" t="s">
        <v>489</v>
      </c>
      <c r="C51" s="37">
        <v>-361968122.39000005</v>
      </c>
      <c r="D51" s="37">
        <v>-362519287.04166669</v>
      </c>
      <c r="E51" s="37">
        <v>-363070451.69333333</v>
      </c>
      <c r="F51" s="37">
        <v>-363621616.34499997</v>
      </c>
      <c r="G51" s="37">
        <v>-364172780.99666661</v>
      </c>
      <c r="H51" s="37">
        <v>-364723945.64833325</v>
      </c>
      <c r="I51" s="37">
        <v>-365275110.29999989</v>
      </c>
      <c r="J51" s="37">
        <v>-365826274.95166653</v>
      </c>
      <c r="K51" s="37">
        <v>-366377439.60333318</v>
      </c>
      <c r="L51" s="37">
        <v>-366928604.25499982</v>
      </c>
      <c r="M51" s="37">
        <v>-367479768.90666646</v>
      </c>
      <c r="N51" s="37">
        <v>-368030933.5583331</v>
      </c>
      <c r="O51" s="37">
        <v>-368582098.21000004</v>
      </c>
      <c r="P51" s="115" t="s">
        <v>333</v>
      </c>
      <c r="Q51" s="119">
        <f>IFERROR(VLOOKUP(P51,'A22 (Allocation Factors)'!$D:$F,3,0),0)</f>
        <v>0.12132411580047649</v>
      </c>
      <c r="R51" s="41">
        <f t="shared" si="46"/>
        <v>-43915462.396925412</v>
      </c>
      <c r="S51" s="41">
        <f t="shared" si="47"/>
        <v>-43982331.960949346</v>
      </c>
      <c r="T51" s="41">
        <f t="shared" si="48"/>
        <v>-44049201.524973281</v>
      </c>
      <c r="U51" s="41">
        <f t="shared" si="49"/>
        <v>-44116071.088997208</v>
      </c>
      <c r="V51" s="41">
        <f t="shared" si="50"/>
        <v>-44182940.653021142</v>
      </c>
      <c r="W51" s="41">
        <f t="shared" si="51"/>
        <v>-44249810.217045076</v>
      </c>
      <c r="X51" s="41">
        <f t="shared" si="52"/>
        <v>-44316679.78106901</v>
      </c>
      <c r="Y51" s="41">
        <f t="shared" si="53"/>
        <v>-44383549.345092945</v>
      </c>
      <c r="Z51" s="41">
        <f t="shared" si="54"/>
        <v>-44450418.909116872</v>
      </c>
      <c r="AA51" s="41">
        <f t="shared" si="55"/>
        <v>-44517288.473140806</v>
      </c>
      <c r="AB51" s="41">
        <f t="shared" si="56"/>
        <v>-44584158.03716474</v>
      </c>
      <c r="AC51" s="41">
        <f t="shared" si="57"/>
        <v>-44651027.601188675</v>
      </c>
      <c r="AD51" s="41">
        <f t="shared" si="58"/>
        <v>-44717897.165212639</v>
      </c>
      <c r="AE51" s="31" t="s">
        <v>785</v>
      </c>
      <c r="AF51" s="46" t="s">
        <v>700</v>
      </c>
    </row>
    <row r="52" spans="1:32" x14ac:dyDescent="0.25">
      <c r="A52" s="31" t="s">
        <v>513</v>
      </c>
      <c r="B52" s="46" t="s">
        <v>506</v>
      </c>
      <c r="C52" s="37">
        <v>-4199357</v>
      </c>
      <c r="D52" s="37">
        <v>-4208208.25</v>
      </c>
      <c r="E52" s="37">
        <v>-4217059.5</v>
      </c>
      <c r="F52" s="37">
        <v>-4225910.75</v>
      </c>
      <c r="G52" s="37">
        <v>-4234762</v>
      </c>
      <c r="H52" s="37">
        <v>-4243613.25</v>
      </c>
      <c r="I52" s="37">
        <v>-4252464.5</v>
      </c>
      <c r="J52" s="37">
        <v>-4261315.75</v>
      </c>
      <c r="K52" s="37">
        <v>-4270167</v>
      </c>
      <c r="L52" s="37">
        <v>-4279018.25</v>
      </c>
      <c r="M52" s="37">
        <v>-4287869.5</v>
      </c>
      <c r="N52" s="37">
        <v>-4296720.75</v>
      </c>
      <c r="O52" s="37">
        <v>-4305572</v>
      </c>
      <c r="P52" s="115" t="s">
        <v>29</v>
      </c>
      <c r="Q52" s="119">
        <f>IFERROR(VLOOKUP(P52,'A22 (Allocation Factors)'!$D:$F,3,0),0)</f>
        <v>0</v>
      </c>
      <c r="R52" s="41">
        <f t="shared" si="46"/>
        <v>0</v>
      </c>
      <c r="S52" s="41">
        <f t="shared" si="47"/>
        <v>0</v>
      </c>
      <c r="T52" s="41">
        <f t="shared" si="48"/>
        <v>0</v>
      </c>
      <c r="U52" s="41">
        <f t="shared" si="49"/>
        <v>0</v>
      </c>
      <c r="V52" s="41">
        <f t="shared" si="50"/>
        <v>0</v>
      </c>
      <c r="W52" s="41">
        <f t="shared" si="51"/>
        <v>0</v>
      </c>
      <c r="X52" s="41">
        <f t="shared" si="52"/>
        <v>0</v>
      </c>
      <c r="Y52" s="41">
        <f t="shared" si="53"/>
        <v>0</v>
      </c>
      <c r="Z52" s="41">
        <f t="shared" si="54"/>
        <v>0</v>
      </c>
      <c r="AA52" s="41">
        <f t="shared" si="55"/>
        <v>0</v>
      </c>
      <c r="AB52" s="41">
        <f t="shared" si="56"/>
        <v>0</v>
      </c>
      <c r="AC52" s="41">
        <f t="shared" si="57"/>
        <v>0</v>
      </c>
      <c r="AD52" s="41">
        <f t="shared" si="58"/>
        <v>0</v>
      </c>
      <c r="AE52" s="31" t="s">
        <v>786</v>
      </c>
      <c r="AF52" s="46" t="s">
        <v>701</v>
      </c>
    </row>
    <row r="53" spans="1:32" x14ac:dyDescent="0.25">
      <c r="A53" s="31" t="s">
        <v>514</v>
      </c>
      <c r="B53" s="46" t="s">
        <v>507</v>
      </c>
      <c r="C53" s="37">
        <v>-54491694.020000003</v>
      </c>
      <c r="D53" s="37">
        <v>-54661598.198333338</v>
      </c>
      <c r="E53" s="37">
        <v>-54831502.376666673</v>
      </c>
      <c r="F53" s="37">
        <v>-55001406.555000007</v>
      </c>
      <c r="G53" s="37">
        <v>-55171310.733333342</v>
      </c>
      <c r="H53" s="37">
        <v>-55341214.911666676</v>
      </c>
      <c r="I53" s="37">
        <v>-55511119.090000011</v>
      </c>
      <c r="J53" s="37">
        <v>-55681023.268333346</v>
      </c>
      <c r="K53" s="37">
        <v>-55850927.44666668</v>
      </c>
      <c r="L53" s="37">
        <v>-56020831.625000015</v>
      </c>
      <c r="M53" s="37">
        <v>-56190735.80333335</v>
      </c>
      <c r="N53" s="37">
        <v>-56360639.981666684</v>
      </c>
      <c r="O53" s="37">
        <v>-56530544.159999996</v>
      </c>
      <c r="P53" s="115" t="s">
        <v>333</v>
      </c>
      <c r="Q53" s="119">
        <f>IFERROR(VLOOKUP(P53,'A22 (Allocation Factors)'!$D:$F,3,0),0)</f>
        <v>0.12132411580047649</v>
      </c>
      <c r="R53" s="41">
        <f t="shared" si="46"/>
        <v>-6611156.5954466127</v>
      </c>
      <c r="S53" s="41">
        <f t="shared" si="47"/>
        <v>-6631770.0696537104</v>
      </c>
      <c r="T53" s="41">
        <f t="shared" si="48"/>
        <v>-6652383.5438608089</v>
      </c>
      <c r="U53" s="41">
        <f t="shared" si="49"/>
        <v>-6672997.0180679075</v>
      </c>
      <c r="V53" s="41">
        <f t="shared" si="50"/>
        <v>-6693610.4922750061</v>
      </c>
      <c r="W53" s="41">
        <f t="shared" si="51"/>
        <v>-6714223.9664821038</v>
      </c>
      <c r="X53" s="41">
        <f t="shared" si="52"/>
        <v>-6734837.4406892024</v>
      </c>
      <c r="Y53" s="41">
        <f t="shared" si="53"/>
        <v>-6755450.914896301</v>
      </c>
      <c r="Z53" s="41">
        <f t="shared" si="54"/>
        <v>-6776064.3891033987</v>
      </c>
      <c r="AA53" s="41">
        <f t="shared" si="55"/>
        <v>-6796677.8633104973</v>
      </c>
      <c r="AB53" s="41">
        <f t="shared" si="56"/>
        <v>-6817291.3375175958</v>
      </c>
      <c r="AC53" s="41">
        <f t="shared" si="57"/>
        <v>-6837904.8117246935</v>
      </c>
      <c r="AD53" s="41">
        <f t="shared" si="58"/>
        <v>-6858518.2859317893</v>
      </c>
      <c r="AE53" s="31" t="s">
        <v>785</v>
      </c>
      <c r="AF53" s="46" t="s">
        <v>702</v>
      </c>
    </row>
    <row r="54" spans="1:32" x14ac:dyDescent="0.25">
      <c r="A54" s="31" t="s">
        <v>515</v>
      </c>
      <c r="B54" s="46" t="s">
        <v>508</v>
      </c>
      <c r="C54" s="37">
        <v>-11053396.59</v>
      </c>
      <c r="D54" s="37">
        <v>-11137604.926666666</v>
      </c>
      <c r="E54" s="37">
        <v>-11221813.263333332</v>
      </c>
      <c r="F54" s="37">
        <v>-11306021.599999998</v>
      </c>
      <c r="G54" s="37">
        <v>-11390229.936666664</v>
      </c>
      <c r="H54" s="37">
        <v>-11474438.27333333</v>
      </c>
      <c r="I54" s="37">
        <v>-11558646.609999996</v>
      </c>
      <c r="J54" s="37">
        <v>-11642854.946666662</v>
      </c>
      <c r="K54" s="37">
        <v>-11727063.283333328</v>
      </c>
      <c r="L54" s="37">
        <v>-11811271.619999994</v>
      </c>
      <c r="M54" s="37">
        <v>-11895479.95666666</v>
      </c>
      <c r="N54" s="37">
        <v>-11979688.293333326</v>
      </c>
      <c r="O54" s="37">
        <v>-12063896.630000001</v>
      </c>
      <c r="P54" s="115" t="s">
        <v>333</v>
      </c>
      <c r="Q54" s="119">
        <f>IFERROR(VLOOKUP(P54,'A22 (Allocation Factors)'!$D:$F,3,0),0)</f>
        <v>0.12132411580047649</v>
      </c>
      <c r="R54" s="41">
        <f t="shared" si="46"/>
        <v>-1341043.567873752</v>
      </c>
      <c r="S54" s="41">
        <f t="shared" si="47"/>
        <v>-1351260.069862864</v>
      </c>
      <c r="T54" s="41">
        <f t="shared" si="48"/>
        <v>-1361476.571851976</v>
      </c>
      <c r="U54" s="41">
        <f t="shared" si="49"/>
        <v>-1371693.0738410882</v>
      </c>
      <c r="V54" s="41">
        <f t="shared" si="50"/>
        <v>-1381909.5758302002</v>
      </c>
      <c r="W54" s="41">
        <f t="shared" si="51"/>
        <v>-1392126.0778193125</v>
      </c>
      <c r="X54" s="41">
        <f t="shared" si="52"/>
        <v>-1402342.5798084245</v>
      </c>
      <c r="Y54" s="41">
        <f t="shared" si="53"/>
        <v>-1412559.0817975365</v>
      </c>
      <c r="Z54" s="41">
        <f t="shared" si="54"/>
        <v>-1422775.5837866487</v>
      </c>
      <c r="AA54" s="41">
        <f t="shared" si="55"/>
        <v>-1432992.0857757607</v>
      </c>
      <c r="AB54" s="41">
        <f t="shared" si="56"/>
        <v>-1443208.5877648729</v>
      </c>
      <c r="AC54" s="41">
        <f t="shared" si="57"/>
        <v>-1453425.0897539849</v>
      </c>
      <c r="AD54" s="41">
        <f t="shared" si="58"/>
        <v>-1463641.5917430981</v>
      </c>
      <c r="AE54" s="31" t="s">
        <v>785</v>
      </c>
      <c r="AF54" s="46" t="s">
        <v>703</v>
      </c>
    </row>
    <row r="55" spans="1:32" x14ac:dyDescent="0.25">
      <c r="A55" s="31" t="s">
        <v>357</v>
      </c>
      <c r="B55" s="46" t="s">
        <v>357</v>
      </c>
      <c r="C55" s="37"/>
      <c r="D55" s="37"/>
      <c r="E55" s="37"/>
      <c r="F55" s="37"/>
      <c r="G55" s="37"/>
      <c r="H55" s="37"/>
      <c r="I55" s="37"/>
      <c r="J55" s="37"/>
      <c r="K55" s="37"/>
      <c r="L55" s="37"/>
      <c r="M55" s="37"/>
      <c r="N55" s="37"/>
      <c r="O55" s="37"/>
      <c r="P55" s="115" t="s">
        <v>357</v>
      </c>
      <c r="Q55" s="119">
        <f>IFERROR(VLOOKUP(P55,'A22 (Allocation Factors)'!$D:$F,3,0),0)</f>
        <v>0</v>
      </c>
      <c r="R55" s="41">
        <f t="shared" si="46"/>
        <v>0</v>
      </c>
      <c r="S55" s="41">
        <f t="shared" si="47"/>
        <v>0</v>
      </c>
      <c r="T55" s="41">
        <f t="shared" si="48"/>
        <v>0</v>
      </c>
      <c r="U55" s="41">
        <f t="shared" si="49"/>
        <v>0</v>
      </c>
      <c r="V55" s="41">
        <f t="shared" si="50"/>
        <v>0</v>
      </c>
      <c r="W55" s="41">
        <f t="shared" si="51"/>
        <v>0</v>
      </c>
      <c r="X55" s="41">
        <f t="shared" si="52"/>
        <v>0</v>
      </c>
      <c r="Y55" s="41">
        <f t="shared" si="53"/>
        <v>0</v>
      </c>
      <c r="Z55" s="41">
        <f t="shared" si="54"/>
        <v>0</v>
      </c>
      <c r="AA55" s="41">
        <f t="shared" si="55"/>
        <v>0</v>
      </c>
      <c r="AB55" s="41">
        <f t="shared" si="56"/>
        <v>0</v>
      </c>
      <c r="AC55" s="41">
        <f t="shared" si="57"/>
        <v>0</v>
      </c>
      <c r="AD55" s="41">
        <f t="shared" si="58"/>
        <v>0</v>
      </c>
      <c r="AE55" s="31" t="s">
        <v>357</v>
      </c>
      <c r="AF55" s="46" t="s">
        <v>357</v>
      </c>
    </row>
    <row r="56" spans="1:32" x14ac:dyDescent="0.25">
      <c r="A56" s="100" t="s">
        <v>516</v>
      </c>
      <c r="B56" s="48" t="s">
        <v>357</v>
      </c>
      <c r="C56" s="20"/>
      <c r="D56" s="20"/>
      <c r="E56" s="20"/>
      <c r="F56" s="20"/>
      <c r="G56" s="20"/>
      <c r="H56" s="20"/>
      <c r="I56" s="20"/>
      <c r="J56" s="20"/>
      <c r="K56" s="20"/>
      <c r="L56" s="20"/>
      <c r="M56" s="20"/>
      <c r="N56" s="20"/>
      <c r="O56" s="20"/>
      <c r="P56" s="116" t="s">
        <v>357</v>
      </c>
      <c r="Q56" s="120">
        <f>IFERROR(VLOOKUP(P56,'A22 (Allocation Factors)'!$D:$F,3,0),0)</f>
        <v>0</v>
      </c>
      <c r="R56" s="41">
        <f t="shared" si="46"/>
        <v>0</v>
      </c>
      <c r="S56" s="41">
        <f t="shared" si="47"/>
        <v>0</v>
      </c>
      <c r="T56" s="41">
        <f t="shared" si="48"/>
        <v>0</v>
      </c>
      <c r="U56" s="41">
        <f t="shared" si="49"/>
        <v>0</v>
      </c>
      <c r="V56" s="41">
        <f t="shared" si="50"/>
        <v>0</v>
      </c>
      <c r="W56" s="41">
        <f t="shared" si="51"/>
        <v>0</v>
      </c>
      <c r="X56" s="41">
        <f t="shared" si="52"/>
        <v>0</v>
      </c>
      <c r="Y56" s="41">
        <f t="shared" si="53"/>
        <v>0</v>
      </c>
      <c r="Z56" s="41">
        <f t="shared" si="54"/>
        <v>0</v>
      </c>
      <c r="AA56" s="41">
        <f t="shared" si="55"/>
        <v>0</v>
      </c>
      <c r="AB56" s="41">
        <f t="shared" si="56"/>
        <v>0</v>
      </c>
      <c r="AC56" s="41">
        <f t="shared" si="57"/>
        <v>0</v>
      </c>
      <c r="AD56" s="41">
        <f t="shared" si="58"/>
        <v>0</v>
      </c>
      <c r="AE56" s="31" t="s">
        <v>357</v>
      </c>
      <c r="AF56" s="46" t="s">
        <v>357</v>
      </c>
    </row>
    <row r="57" spans="1:32" s="6" customFormat="1" x14ac:dyDescent="0.25">
      <c r="A57" s="88">
        <v>6</v>
      </c>
      <c r="B57" s="89" t="str">
        <f>"Total Account No. 282 (Sum Lns. "&amp;A47&amp;" through "&amp;A56&amp;")"</f>
        <v>Total Account No. 282 (Sum Lns. 5a through 5zz)</v>
      </c>
      <c r="C57" s="90">
        <f>SUM(C47:C56)</f>
        <v>-489812400.44</v>
      </c>
      <c r="D57" s="90">
        <f t="shared" ref="D57:O57" si="59">SUM(D47:D56)</f>
        <v>-490591092.125</v>
      </c>
      <c r="E57" s="90">
        <f t="shared" si="59"/>
        <v>-491369783.81</v>
      </c>
      <c r="F57" s="90">
        <f t="shared" si="59"/>
        <v>-492148475.495</v>
      </c>
      <c r="G57" s="90">
        <f t="shared" si="59"/>
        <v>-492927167.17999995</v>
      </c>
      <c r="H57" s="90">
        <f t="shared" si="59"/>
        <v>-493705858.86499995</v>
      </c>
      <c r="I57" s="90">
        <f t="shared" si="59"/>
        <v>-494484550.54999995</v>
      </c>
      <c r="J57" s="90">
        <f t="shared" si="59"/>
        <v>-495263242.23499984</v>
      </c>
      <c r="K57" s="90">
        <f t="shared" si="59"/>
        <v>-496041933.91999984</v>
      </c>
      <c r="L57" s="90">
        <f t="shared" si="59"/>
        <v>-496820625.60499984</v>
      </c>
      <c r="M57" s="90">
        <f t="shared" si="59"/>
        <v>-497599317.28999978</v>
      </c>
      <c r="N57" s="90">
        <f t="shared" si="59"/>
        <v>-498378008.97499985</v>
      </c>
      <c r="O57" s="90">
        <f t="shared" si="59"/>
        <v>-499156700.65999997</v>
      </c>
      <c r="P57" s="90"/>
      <c r="Q57" s="90"/>
      <c r="R57" s="90">
        <f t="shared" ref="R57" si="60">SUM(R47:R56)</f>
        <v>-55211169.121763475</v>
      </c>
      <c r="S57" s="90">
        <f t="shared" ref="S57" si="61">SUM(S47:S56)</f>
        <v>-55310351.066253215</v>
      </c>
      <c r="T57" s="90">
        <f t="shared" ref="T57" si="62">SUM(T47:T56)</f>
        <v>-55409533.010742955</v>
      </c>
      <c r="U57" s="90">
        <f t="shared" ref="U57" si="63">SUM(U47:U56)</f>
        <v>-55508714.955232687</v>
      </c>
      <c r="V57" s="90">
        <f t="shared" ref="V57" si="64">SUM(V47:V56)</f>
        <v>-55607896.899722427</v>
      </c>
      <c r="W57" s="90">
        <f t="shared" ref="W57" si="65">SUM(W47:W56)</f>
        <v>-55707078.844212167</v>
      </c>
      <c r="X57" s="90">
        <f t="shared" ref="X57" si="66">SUM(X47:X56)</f>
        <v>-55806260.788701914</v>
      </c>
      <c r="Y57" s="90">
        <f t="shared" ref="Y57" si="67">SUM(Y47:Y56)</f>
        <v>-55905442.733191654</v>
      </c>
      <c r="Z57" s="90">
        <f t="shared" ref="Z57" si="68">SUM(Z47:Z56)</f>
        <v>-56004624.677681386</v>
      </c>
      <c r="AA57" s="90">
        <f t="shared" ref="AA57" si="69">SUM(AA47:AA56)</f>
        <v>-56103806.622171134</v>
      </c>
      <c r="AB57" s="90">
        <f t="shared" ref="AB57" si="70">SUM(AB47:AB56)</f>
        <v>-56202988.566660874</v>
      </c>
      <c r="AC57" s="90">
        <f t="shared" ref="AC57" si="71">SUM(AC47:AC56)</f>
        <v>-56302170.511150613</v>
      </c>
      <c r="AD57" s="90">
        <f t="shared" ref="AD57" si="72">SUM(AD47:AD56)</f>
        <v>-56401352.455640376</v>
      </c>
      <c r="AE57" s="90"/>
      <c r="AF57" s="90"/>
    </row>
    <row r="58" spans="1:32" s="6" customFormat="1" x14ac:dyDescent="0.25">
      <c r="A58" s="16"/>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row>
    <row r="59" spans="1:32" s="127" customFormat="1" x14ac:dyDescent="0.25">
      <c r="A59" s="126">
        <f>A57+1</f>
        <v>7</v>
      </c>
      <c r="B59" s="127" t="s">
        <v>777</v>
      </c>
      <c r="C59" s="128">
        <f>SUMIF($AE$47:$AE$56,"Yes",C$47:C$56)</f>
        <v>-455071679.33999997</v>
      </c>
      <c r="D59" s="128">
        <f t="shared" ref="D59:O59" si="73">SUMIF($AE$47:$AE$56,"Yes",D$47:D$56)</f>
        <v>-455889175.05250001</v>
      </c>
      <c r="E59" s="128">
        <f t="shared" si="73"/>
        <v>-456706670.76499999</v>
      </c>
      <c r="F59" s="128">
        <f t="shared" si="73"/>
        <v>-457524166.47750002</v>
      </c>
      <c r="G59" s="128">
        <f t="shared" si="73"/>
        <v>-458341662.18999994</v>
      </c>
      <c r="H59" s="128">
        <f t="shared" si="73"/>
        <v>-459159157.90249991</v>
      </c>
      <c r="I59" s="128">
        <f t="shared" si="73"/>
        <v>-459976653.61499995</v>
      </c>
      <c r="J59" s="128">
        <f t="shared" si="73"/>
        <v>-460794149.32749993</v>
      </c>
      <c r="K59" s="128">
        <f t="shared" si="73"/>
        <v>-461611645.03999978</v>
      </c>
      <c r="L59" s="128">
        <f t="shared" si="73"/>
        <v>-462429140.75249982</v>
      </c>
      <c r="M59" s="128">
        <f t="shared" si="73"/>
        <v>-463246636.46499979</v>
      </c>
      <c r="N59" s="128">
        <f t="shared" si="73"/>
        <v>-464064132.17749983</v>
      </c>
      <c r="O59" s="128">
        <f t="shared" si="73"/>
        <v>-464881627.88999999</v>
      </c>
      <c r="P59" s="128"/>
      <c r="Q59" s="128"/>
      <c r="R59" s="128">
        <f>SUMIF($AE$47:$AE$56,"Yes",R$47:R$56)</f>
        <v>-55211169.121763475</v>
      </c>
      <c r="S59" s="128">
        <f t="shared" ref="S59:AC59" si="74">SUMIF($AE$47:$AE$56,"Yes",S$47:S$56)</f>
        <v>-55310351.066253215</v>
      </c>
      <c r="T59" s="128">
        <f t="shared" si="74"/>
        <v>-55409533.010742955</v>
      </c>
      <c r="U59" s="128">
        <f t="shared" si="74"/>
        <v>-55508714.955232687</v>
      </c>
      <c r="V59" s="128">
        <f t="shared" si="74"/>
        <v>-55607896.899722427</v>
      </c>
      <c r="W59" s="128">
        <f t="shared" si="74"/>
        <v>-55707078.844212167</v>
      </c>
      <c r="X59" s="128">
        <f t="shared" si="74"/>
        <v>-55806260.788701914</v>
      </c>
      <c r="Y59" s="128">
        <f t="shared" si="74"/>
        <v>-55905442.733191654</v>
      </c>
      <c r="Z59" s="128">
        <f t="shared" si="74"/>
        <v>-56004624.677681386</v>
      </c>
      <c r="AA59" s="128">
        <f t="shared" si="74"/>
        <v>-56103806.622171134</v>
      </c>
      <c r="AB59" s="128">
        <f t="shared" si="74"/>
        <v>-56202988.566660874</v>
      </c>
      <c r="AC59" s="128">
        <f t="shared" si="74"/>
        <v>-56302170.511150613</v>
      </c>
      <c r="AD59" s="128">
        <f>SUMIF($AE$47:$AE$56,"Yes",AD$47:AD$56)</f>
        <v>-56401352.455640376</v>
      </c>
      <c r="AE59" s="128"/>
      <c r="AF59" s="128"/>
    </row>
    <row r="60" spans="1:32" s="127" customFormat="1" hidden="1" x14ac:dyDescent="0.25">
      <c r="A60" s="126"/>
      <c r="C60" s="128"/>
      <c r="D60" s="128"/>
      <c r="E60" s="128"/>
      <c r="F60" s="128"/>
      <c r="G60" s="128"/>
      <c r="H60" s="128"/>
      <c r="I60" s="128"/>
      <c r="J60" s="128"/>
      <c r="K60" s="128"/>
      <c r="L60" s="128"/>
      <c r="M60" s="128"/>
      <c r="N60" s="128"/>
      <c r="O60" s="128"/>
      <c r="P60" s="128"/>
      <c r="Q60" s="128"/>
      <c r="R60" s="128"/>
      <c r="S60" s="128">
        <f>S59-R59</f>
        <v>-99181.944489739835</v>
      </c>
      <c r="T60" s="128">
        <f t="shared" ref="T60" si="75">T59-S59</f>
        <v>-99181.944489739835</v>
      </c>
      <c r="U60" s="128">
        <f t="shared" ref="U60" si="76">U59-T59</f>
        <v>-99181.944489732385</v>
      </c>
      <c r="V60" s="128">
        <f t="shared" ref="V60" si="77">V59-U59</f>
        <v>-99181.944489739835</v>
      </c>
      <c r="W60" s="128">
        <f t="shared" ref="W60" si="78">W59-V59</f>
        <v>-99181.944489739835</v>
      </c>
      <c r="X60" s="128">
        <f t="shared" ref="X60" si="79">X59-W59</f>
        <v>-99181.944489747286</v>
      </c>
      <c r="Y60" s="128">
        <f t="shared" ref="Y60" si="80">Y59-X59</f>
        <v>-99181.944489739835</v>
      </c>
      <c r="Z60" s="128">
        <f t="shared" ref="Z60" si="81">Z59-Y59</f>
        <v>-99181.944489732385</v>
      </c>
      <c r="AA60" s="128">
        <f t="shared" ref="AA60" si="82">AA59-Z59</f>
        <v>-99181.944489747286</v>
      </c>
      <c r="AB60" s="128">
        <f t="shared" ref="AB60" si="83">AB59-AA59</f>
        <v>-99181.944489739835</v>
      </c>
      <c r="AC60" s="128">
        <f t="shared" ref="AC60" si="84">AC59-AB59</f>
        <v>-99181.944489739835</v>
      </c>
      <c r="AD60" s="128">
        <f t="shared" ref="AD60" si="85">AD59-AC59</f>
        <v>-99181.944489762187</v>
      </c>
      <c r="AE60" s="128"/>
      <c r="AF60" s="128"/>
    </row>
    <row r="61" spans="1:32" s="127" customFormat="1" x14ac:dyDescent="0.25">
      <c r="A61" s="126">
        <f>A59+1</f>
        <v>8</v>
      </c>
      <c r="B61" s="127" t="s">
        <v>778</v>
      </c>
      <c r="C61" s="128">
        <f>SUMIF($AE$47:$AE$56,"No",C$47:C$56)</f>
        <v>-34740721.100000001</v>
      </c>
      <c r="D61" s="128">
        <f t="shared" ref="D61:O61" si="86">SUMIF($AE$47:$AE$56,"No",D$47:D$56)</f>
        <v>-34701917.072500005</v>
      </c>
      <c r="E61" s="128">
        <f t="shared" si="86"/>
        <v>-34663113.045000002</v>
      </c>
      <c r="F61" s="128">
        <f t="shared" si="86"/>
        <v>-34624309.017500006</v>
      </c>
      <c r="G61" s="128">
        <f t="shared" si="86"/>
        <v>-34585504.990000002</v>
      </c>
      <c r="H61" s="128">
        <f t="shared" si="86"/>
        <v>-34546700.962500006</v>
      </c>
      <c r="I61" s="128">
        <f t="shared" si="86"/>
        <v>-34507896.935000002</v>
      </c>
      <c r="J61" s="128">
        <f t="shared" si="86"/>
        <v>-34469092.907500006</v>
      </c>
      <c r="K61" s="128">
        <f t="shared" si="86"/>
        <v>-34430288.88000001</v>
      </c>
      <c r="L61" s="128">
        <f t="shared" si="86"/>
        <v>-34391484.852500007</v>
      </c>
      <c r="M61" s="128">
        <f t="shared" si="86"/>
        <v>-34352680.825000003</v>
      </c>
      <c r="N61" s="128">
        <f t="shared" si="86"/>
        <v>-34313876.797500007</v>
      </c>
      <c r="O61" s="128">
        <f t="shared" si="86"/>
        <v>-34275072.769999996</v>
      </c>
      <c r="P61" s="128"/>
      <c r="Q61" s="128"/>
      <c r="R61" s="128">
        <f>SUMIF($AE$47:$AE$56,"No",R$47:R$56)</f>
        <v>0</v>
      </c>
      <c r="S61" s="128">
        <f t="shared" ref="S61:AD61" si="87">SUMIF($AE$47:$AE$56,"No",S$47:S$56)</f>
        <v>0</v>
      </c>
      <c r="T61" s="128">
        <f t="shared" si="87"/>
        <v>0</v>
      </c>
      <c r="U61" s="128">
        <f t="shared" si="87"/>
        <v>0</v>
      </c>
      <c r="V61" s="128">
        <f t="shared" si="87"/>
        <v>0</v>
      </c>
      <c r="W61" s="128">
        <f t="shared" si="87"/>
        <v>0</v>
      </c>
      <c r="X61" s="128">
        <f t="shared" si="87"/>
        <v>0</v>
      </c>
      <c r="Y61" s="128">
        <f t="shared" si="87"/>
        <v>0</v>
      </c>
      <c r="Z61" s="128">
        <f t="shared" si="87"/>
        <v>0</v>
      </c>
      <c r="AA61" s="128">
        <f t="shared" si="87"/>
        <v>0</v>
      </c>
      <c r="AB61" s="128">
        <f t="shared" si="87"/>
        <v>0</v>
      </c>
      <c r="AC61" s="128">
        <f t="shared" si="87"/>
        <v>0</v>
      </c>
      <c r="AD61" s="128">
        <f t="shared" si="87"/>
        <v>0</v>
      </c>
      <c r="AE61" s="128"/>
      <c r="AF61" s="128"/>
    </row>
    <row r="63" spans="1:32" ht="18.75" x14ac:dyDescent="0.25">
      <c r="A63" s="89" t="s">
        <v>910</v>
      </c>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row>
    <row r="64" spans="1:32" x14ac:dyDescent="0.25">
      <c r="A64" s="31" t="s">
        <v>554</v>
      </c>
      <c r="B64" s="46" t="s">
        <v>504</v>
      </c>
      <c r="C64" s="37">
        <v>-7186902.1799999997</v>
      </c>
      <c r="D64" s="37">
        <v>-7181093.0649999995</v>
      </c>
      <c r="E64" s="37">
        <v>-7175283.9499999993</v>
      </c>
      <c r="F64" s="37">
        <v>-7169474.834999999</v>
      </c>
      <c r="G64" s="37">
        <v>-7163665.7199999988</v>
      </c>
      <c r="H64" s="37">
        <v>-7157856.6049999986</v>
      </c>
      <c r="I64" s="37">
        <v>-7152047.4899999984</v>
      </c>
      <c r="J64" s="37">
        <v>-7146238.3749999981</v>
      </c>
      <c r="K64" s="37">
        <v>-7140429.2599999979</v>
      </c>
      <c r="L64" s="37">
        <v>-7134620.1449999977</v>
      </c>
      <c r="M64" s="37">
        <v>-7128811.0299999975</v>
      </c>
      <c r="N64" s="37">
        <v>-7123001.9149999972</v>
      </c>
      <c r="O64" s="37">
        <v>-7117192.7999999998</v>
      </c>
      <c r="P64" s="114" t="s">
        <v>29</v>
      </c>
      <c r="Q64" s="118">
        <f>IFERROR(VLOOKUP(P64,'A22 (Allocation Factors)'!$D:$F,3,0),0)</f>
        <v>0</v>
      </c>
      <c r="R64" s="41">
        <f t="shared" ref="R64:R76" si="88">C64*$Q64</f>
        <v>0</v>
      </c>
      <c r="S64" s="41">
        <f t="shared" ref="S64:S76" si="89">D64*$Q64</f>
        <v>0</v>
      </c>
      <c r="T64" s="41">
        <f t="shared" ref="T64:T76" si="90">E64*$Q64</f>
        <v>0</v>
      </c>
      <c r="U64" s="41">
        <f t="shared" ref="U64:U76" si="91">F64*$Q64</f>
        <v>0</v>
      </c>
      <c r="V64" s="41">
        <f t="shared" ref="V64:V76" si="92">G64*$Q64</f>
        <v>0</v>
      </c>
      <c r="W64" s="41">
        <f t="shared" ref="W64:W76" si="93">H64*$Q64</f>
        <v>0</v>
      </c>
      <c r="X64" s="41">
        <f t="shared" ref="X64:X76" si="94">I64*$Q64</f>
        <v>0</v>
      </c>
      <c r="Y64" s="41">
        <f t="shared" ref="Y64:Y76" si="95">J64*$Q64</f>
        <v>0</v>
      </c>
      <c r="Z64" s="41">
        <f t="shared" ref="Z64:Z76" si="96">K64*$Q64</f>
        <v>0</v>
      </c>
      <c r="AA64" s="41">
        <f t="shared" ref="AA64:AA76" si="97">L64*$Q64</f>
        <v>0</v>
      </c>
      <c r="AB64" s="41">
        <f t="shared" ref="AB64:AB76" si="98">M64*$Q64</f>
        <v>0</v>
      </c>
      <c r="AC64" s="41">
        <f t="shared" ref="AC64:AC76" si="99">N64*$Q64</f>
        <v>0</v>
      </c>
      <c r="AD64" s="41">
        <f t="shared" ref="AD64:AD76" si="100">O64*$Q64</f>
        <v>0</v>
      </c>
      <c r="AE64" s="31" t="s">
        <v>786</v>
      </c>
      <c r="AF64" s="46" t="s">
        <v>699</v>
      </c>
    </row>
    <row r="65" spans="1:32" x14ac:dyDescent="0.25">
      <c r="A65" s="31" t="s">
        <v>555</v>
      </c>
      <c r="B65" s="46" t="s">
        <v>505</v>
      </c>
      <c r="C65" s="37">
        <v>-525447.31000000006</v>
      </c>
      <c r="D65" s="37">
        <v>-521384.57666666672</v>
      </c>
      <c r="E65" s="37">
        <v>-517321.84333333338</v>
      </c>
      <c r="F65" s="37">
        <v>-513259.11000000004</v>
      </c>
      <c r="G65" s="37">
        <v>-509196.37666666671</v>
      </c>
      <c r="H65" s="37">
        <v>-505133.64333333337</v>
      </c>
      <c r="I65" s="37">
        <v>-501070.91000000003</v>
      </c>
      <c r="J65" s="37">
        <v>-497008.1766666667</v>
      </c>
      <c r="K65" s="37">
        <v>-492945.44333333336</v>
      </c>
      <c r="L65" s="37">
        <v>-488882.71</v>
      </c>
      <c r="M65" s="37">
        <v>-484819.97666666668</v>
      </c>
      <c r="N65" s="37">
        <v>-480757.24333333335</v>
      </c>
      <c r="O65" s="37">
        <v>-476694.51</v>
      </c>
      <c r="P65" s="115" t="s">
        <v>29</v>
      </c>
      <c r="Q65" s="119">
        <f>IFERROR(VLOOKUP(P65,'A22 (Allocation Factors)'!$D:$F,3,0),0)</f>
        <v>0</v>
      </c>
      <c r="R65" s="41">
        <f t="shared" si="88"/>
        <v>0</v>
      </c>
      <c r="S65" s="41">
        <f t="shared" si="89"/>
        <v>0</v>
      </c>
      <c r="T65" s="41">
        <f t="shared" si="90"/>
        <v>0</v>
      </c>
      <c r="U65" s="41">
        <f t="shared" si="91"/>
        <v>0</v>
      </c>
      <c r="V65" s="41">
        <f t="shared" si="92"/>
        <v>0</v>
      </c>
      <c r="W65" s="41">
        <f t="shared" si="93"/>
        <v>0</v>
      </c>
      <c r="X65" s="41">
        <f t="shared" si="94"/>
        <v>0</v>
      </c>
      <c r="Y65" s="41">
        <f t="shared" si="95"/>
        <v>0</v>
      </c>
      <c r="Z65" s="41">
        <f t="shared" si="96"/>
        <v>0</v>
      </c>
      <c r="AA65" s="41">
        <f t="shared" si="97"/>
        <v>0</v>
      </c>
      <c r="AB65" s="41">
        <f t="shared" si="98"/>
        <v>0</v>
      </c>
      <c r="AC65" s="41">
        <f t="shared" si="99"/>
        <v>0</v>
      </c>
      <c r="AD65" s="41">
        <f t="shared" si="100"/>
        <v>0</v>
      </c>
      <c r="AE65" s="31" t="s">
        <v>786</v>
      </c>
      <c r="AF65" s="46" t="s">
        <v>698</v>
      </c>
    </row>
    <row r="66" spans="1:32" x14ac:dyDescent="0.25">
      <c r="A66" s="31" t="s">
        <v>556</v>
      </c>
      <c r="B66" s="46" t="s">
        <v>517</v>
      </c>
      <c r="C66" s="37">
        <v>-2724046.4</v>
      </c>
      <c r="D66" s="37">
        <v>-2742227.853333333</v>
      </c>
      <c r="E66" s="37">
        <v>-2760409.3066666662</v>
      </c>
      <c r="F66" s="37">
        <v>-2778590.7599999993</v>
      </c>
      <c r="G66" s="37">
        <v>-2796772.2133333324</v>
      </c>
      <c r="H66" s="37">
        <v>-2814953.6666666656</v>
      </c>
      <c r="I66" s="37">
        <v>-2833135.1199999987</v>
      </c>
      <c r="J66" s="37">
        <v>-2851316.5733333318</v>
      </c>
      <c r="K66" s="37">
        <v>-2869498.026666665</v>
      </c>
      <c r="L66" s="37">
        <v>-2887679.4799999981</v>
      </c>
      <c r="M66" s="37">
        <v>-2905860.9333333313</v>
      </c>
      <c r="N66" s="37">
        <v>-2924042.3866666644</v>
      </c>
      <c r="O66" s="37">
        <v>-2942223.84</v>
      </c>
      <c r="P66" s="115" t="s">
        <v>333</v>
      </c>
      <c r="Q66" s="119">
        <f>IFERROR(VLOOKUP(P66,'A22 (Allocation Factors)'!$D:$F,3,0),0)</f>
        <v>0.12132411580047649</v>
      </c>
      <c r="R66" s="41">
        <f t="shared" si="88"/>
        <v>-330492.52087947109</v>
      </c>
      <c r="S66" s="41">
        <f t="shared" si="89"/>
        <v>-332698.36962910538</v>
      </c>
      <c r="T66" s="41">
        <f t="shared" si="90"/>
        <v>-334904.21837873961</v>
      </c>
      <c r="U66" s="41">
        <f t="shared" si="91"/>
        <v>-337110.06712837389</v>
      </c>
      <c r="V66" s="41">
        <f t="shared" si="92"/>
        <v>-339315.91587800818</v>
      </c>
      <c r="W66" s="41">
        <f t="shared" si="93"/>
        <v>-341521.76462764241</v>
      </c>
      <c r="X66" s="41">
        <f t="shared" si="94"/>
        <v>-343727.61337727669</v>
      </c>
      <c r="Y66" s="41">
        <f t="shared" si="95"/>
        <v>-345933.46212691098</v>
      </c>
      <c r="Z66" s="41">
        <f t="shared" si="96"/>
        <v>-348139.31087654521</v>
      </c>
      <c r="AA66" s="41">
        <f t="shared" si="97"/>
        <v>-350345.15962617949</v>
      </c>
      <c r="AB66" s="41">
        <f t="shared" si="98"/>
        <v>-352551.00837581378</v>
      </c>
      <c r="AC66" s="41">
        <f t="shared" si="99"/>
        <v>-354756.85712544806</v>
      </c>
      <c r="AD66" s="41">
        <f t="shared" si="100"/>
        <v>-356962.70587508258</v>
      </c>
      <c r="AE66" s="31" t="s">
        <v>785</v>
      </c>
      <c r="AF66" s="46" t="s">
        <v>900</v>
      </c>
    </row>
    <row r="67" spans="1:32" x14ac:dyDescent="0.25">
      <c r="A67" s="31" t="s">
        <v>557</v>
      </c>
      <c r="B67" s="46" t="s">
        <v>485</v>
      </c>
      <c r="C67" s="37">
        <v>-13605803</v>
      </c>
      <c r="D67" s="37">
        <v>-14235890.483333334</v>
      </c>
      <c r="E67" s="37">
        <v>-14865977.966666669</v>
      </c>
      <c r="F67" s="37">
        <v>-15496065.450000003</v>
      </c>
      <c r="G67" s="37">
        <v>-16126152.933333337</v>
      </c>
      <c r="H67" s="37">
        <v>-16756240.416666672</v>
      </c>
      <c r="I67" s="37">
        <v>-17386327.900000006</v>
      </c>
      <c r="J67" s="37">
        <v>-18016415.38333334</v>
      </c>
      <c r="K67" s="37">
        <v>-18646502.866666675</v>
      </c>
      <c r="L67" s="37">
        <v>-19276590.350000009</v>
      </c>
      <c r="M67" s="37">
        <v>-19906677.833333343</v>
      </c>
      <c r="N67" s="37">
        <v>-20536765.316666678</v>
      </c>
      <c r="O67" s="37">
        <v>-21166852.800000001</v>
      </c>
      <c r="P67" s="115" t="s">
        <v>29</v>
      </c>
      <c r="Q67" s="119">
        <f>IFERROR(VLOOKUP(P67,'A22 (Allocation Factors)'!$D:$F,3,0),0)</f>
        <v>0</v>
      </c>
      <c r="R67" s="41">
        <f t="shared" si="88"/>
        <v>0</v>
      </c>
      <c r="S67" s="41">
        <f t="shared" si="89"/>
        <v>0</v>
      </c>
      <c r="T67" s="41">
        <f t="shared" si="90"/>
        <v>0</v>
      </c>
      <c r="U67" s="41">
        <f t="shared" si="91"/>
        <v>0</v>
      </c>
      <c r="V67" s="41">
        <f t="shared" si="92"/>
        <v>0</v>
      </c>
      <c r="W67" s="41">
        <f t="shared" si="93"/>
        <v>0</v>
      </c>
      <c r="X67" s="41">
        <f t="shared" si="94"/>
        <v>0</v>
      </c>
      <c r="Y67" s="41">
        <f t="shared" si="95"/>
        <v>0</v>
      </c>
      <c r="Z67" s="41">
        <f t="shared" si="96"/>
        <v>0</v>
      </c>
      <c r="AA67" s="41">
        <f t="shared" si="97"/>
        <v>0</v>
      </c>
      <c r="AB67" s="41">
        <f t="shared" si="98"/>
        <v>0</v>
      </c>
      <c r="AC67" s="41">
        <f t="shared" si="99"/>
        <v>0</v>
      </c>
      <c r="AD67" s="41">
        <f t="shared" si="100"/>
        <v>0</v>
      </c>
      <c r="AE67" s="31" t="s">
        <v>786</v>
      </c>
      <c r="AF67" s="46" t="s">
        <v>771</v>
      </c>
    </row>
    <row r="68" spans="1:32" x14ac:dyDescent="0.25">
      <c r="A68" s="31" t="s">
        <v>558</v>
      </c>
      <c r="B68" s="46" t="s">
        <v>486</v>
      </c>
      <c r="C68" s="37">
        <v>0</v>
      </c>
      <c r="D68" s="37">
        <v>-873.10500000000002</v>
      </c>
      <c r="E68" s="37">
        <v>-1746.21</v>
      </c>
      <c r="F68" s="37">
        <v>-2619.3150000000001</v>
      </c>
      <c r="G68" s="37">
        <v>-3492.42</v>
      </c>
      <c r="H68" s="37">
        <v>-4365.5249999999996</v>
      </c>
      <c r="I68" s="37">
        <v>-5238.6299999999992</v>
      </c>
      <c r="J68" s="37">
        <v>-6111.7349999999988</v>
      </c>
      <c r="K68" s="37">
        <v>-6984.8399999999983</v>
      </c>
      <c r="L68" s="37">
        <v>-7857.9449999999979</v>
      </c>
      <c r="M68" s="37">
        <v>-8731.0499999999975</v>
      </c>
      <c r="N68" s="37">
        <v>-9604.154999999997</v>
      </c>
      <c r="O68" s="37">
        <v>-10477.26</v>
      </c>
      <c r="P68" s="115" t="s">
        <v>29</v>
      </c>
      <c r="Q68" s="119">
        <f>IFERROR(VLOOKUP(P68,'A22 (Allocation Factors)'!$D:$F,3,0),0)</f>
        <v>0</v>
      </c>
      <c r="R68" s="41">
        <f t="shared" si="88"/>
        <v>0</v>
      </c>
      <c r="S68" s="41">
        <f t="shared" si="89"/>
        <v>0</v>
      </c>
      <c r="T68" s="41">
        <f t="shared" si="90"/>
        <v>0</v>
      </c>
      <c r="U68" s="41">
        <f t="shared" si="91"/>
        <v>0</v>
      </c>
      <c r="V68" s="41">
        <f t="shared" si="92"/>
        <v>0</v>
      </c>
      <c r="W68" s="41">
        <f t="shared" si="93"/>
        <v>0</v>
      </c>
      <c r="X68" s="41">
        <f t="shared" si="94"/>
        <v>0</v>
      </c>
      <c r="Y68" s="41">
        <f t="shared" si="95"/>
        <v>0</v>
      </c>
      <c r="Z68" s="41">
        <f t="shared" si="96"/>
        <v>0</v>
      </c>
      <c r="AA68" s="41">
        <f t="shared" si="97"/>
        <v>0</v>
      </c>
      <c r="AB68" s="41">
        <f t="shared" si="98"/>
        <v>0</v>
      </c>
      <c r="AC68" s="41">
        <f t="shared" si="99"/>
        <v>0</v>
      </c>
      <c r="AD68" s="41">
        <f t="shared" si="100"/>
        <v>0</v>
      </c>
      <c r="AE68" s="31" t="s">
        <v>786</v>
      </c>
      <c r="AF68" s="46" t="s">
        <v>767</v>
      </c>
    </row>
    <row r="69" spans="1:32" x14ac:dyDescent="0.25">
      <c r="A69" s="31" t="s">
        <v>779</v>
      </c>
      <c r="B69" s="46" t="s">
        <v>487</v>
      </c>
      <c r="C69" s="37">
        <v>18250.990000000002</v>
      </c>
      <c r="D69" s="37">
        <v>-23313.929166666665</v>
      </c>
      <c r="E69" s="37">
        <v>-64878.848333333328</v>
      </c>
      <c r="F69" s="37">
        <v>-106443.76749999999</v>
      </c>
      <c r="G69" s="37">
        <v>-148008.68666666665</v>
      </c>
      <c r="H69" s="37">
        <v>-189573.60583333331</v>
      </c>
      <c r="I69" s="37">
        <v>-231138.52499999997</v>
      </c>
      <c r="J69" s="37">
        <v>-272703.44416666665</v>
      </c>
      <c r="K69" s="37">
        <v>-314268.36333333334</v>
      </c>
      <c r="L69" s="37">
        <v>-355833.28250000003</v>
      </c>
      <c r="M69" s="37">
        <v>-397398.20166666672</v>
      </c>
      <c r="N69" s="37">
        <v>-438963.12083333341</v>
      </c>
      <c r="O69" s="37">
        <v>-480528.04</v>
      </c>
      <c r="P69" s="115" t="s">
        <v>29</v>
      </c>
      <c r="Q69" s="119">
        <f>IFERROR(VLOOKUP(P69,'A22 (Allocation Factors)'!$D:$F,3,0),0)</f>
        <v>0</v>
      </c>
      <c r="R69" s="41">
        <f t="shared" si="88"/>
        <v>0</v>
      </c>
      <c r="S69" s="41">
        <f t="shared" si="89"/>
        <v>0</v>
      </c>
      <c r="T69" s="41">
        <f t="shared" si="90"/>
        <v>0</v>
      </c>
      <c r="U69" s="41">
        <f t="shared" si="91"/>
        <v>0</v>
      </c>
      <c r="V69" s="41">
        <f t="shared" si="92"/>
        <v>0</v>
      </c>
      <c r="W69" s="41">
        <f t="shared" si="93"/>
        <v>0</v>
      </c>
      <c r="X69" s="41">
        <f t="shared" si="94"/>
        <v>0</v>
      </c>
      <c r="Y69" s="41">
        <f t="shared" si="95"/>
        <v>0</v>
      </c>
      <c r="Z69" s="41">
        <f t="shared" si="96"/>
        <v>0</v>
      </c>
      <c r="AA69" s="41">
        <f t="shared" si="97"/>
        <v>0</v>
      </c>
      <c r="AB69" s="41">
        <f t="shared" si="98"/>
        <v>0</v>
      </c>
      <c r="AC69" s="41">
        <f t="shared" si="99"/>
        <v>0</v>
      </c>
      <c r="AD69" s="41">
        <f t="shared" si="100"/>
        <v>0</v>
      </c>
      <c r="AE69" s="31" t="s">
        <v>786</v>
      </c>
      <c r="AF69" s="46" t="s">
        <v>767</v>
      </c>
    </row>
    <row r="70" spans="1:32" x14ac:dyDescent="0.25">
      <c r="A70" s="33" t="s">
        <v>780</v>
      </c>
      <c r="B70" s="53" t="s">
        <v>488</v>
      </c>
      <c r="C70" s="38">
        <v>0</v>
      </c>
      <c r="D70" s="37">
        <v>-196947.49250000002</v>
      </c>
      <c r="E70" s="37">
        <v>-393894.98500000004</v>
      </c>
      <c r="F70" s="37">
        <v>-590842.47750000004</v>
      </c>
      <c r="G70" s="37">
        <v>-787789.97000000009</v>
      </c>
      <c r="H70" s="37">
        <v>-984737.46250000014</v>
      </c>
      <c r="I70" s="37">
        <v>-1181684.9550000001</v>
      </c>
      <c r="J70" s="37">
        <v>-1378632.4475</v>
      </c>
      <c r="K70" s="37">
        <v>-1575579.94</v>
      </c>
      <c r="L70" s="37">
        <v>-1772527.4324999999</v>
      </c>
      <c r="M70" s="37">
        <v>-1969474.9249999998</v>
      </c>
      <c r="N70" s="37">
        <v>-2166422.4175</v>
      </c>
      <c r="O70" s="38">
        <v>-2363369.91</v>
      </c>
      <c r="P70" s="121" t="s">
        <v>29</v>
      </c>
      <c r="Q70" s="123">
        <f>IFERROR(VLOOKUP(P70,'A22 (Allocation Factors)'!$D:$F,3,0),0)</f>
        <v>0</v>
      </c>
      <c r="R70" s="41">
        <f t="shared" si="88"/>
        <v>0</v>
      </c>
      <c r="S70" s="41">
        <f t="shared" si="89"/>
        <v>0</v>
      </c>
      <c r="T70" s="41">
        <f t="shared" si="90"/>
        <v>0</v>
      </c>
      <c r="U70" s="41">
        <f t="shared" si="91"/>
        <v>0</v>
      </c>
      <c r="V70" s="41">
        <f t="shared" si="92"/>
        <v>0</v>
      </c>
      <c r="W70" s="41">
        <f t="shared" si="93"/>
        <v>0</v>
      </c>
      <c r="X70" s="41">
        <f t="shared" si="94"/>
        <v>0</v>
      </c>
      <c r="Y70" s="41">
        <f t="shared" si="95"/>
        <v>0</v>
      </c>
      <c r="Z70" s="41">
        <f t="shared" si="96"/>
        <v>0</v>
      </c>
      <c r="AA70" s="41">
        <f t="shared" si="97"/>
        <v>0</v>
      </c>
      <c r="AB70" s="41">
        <f t="shared" si="98"/>
        <v>0</v>
      </c>
      <c r="AC70" s="41">
        <f t="shared" si="99"/>
        <v>0</v>
      </c>
      <c r="AD70" s="41">
        <f t="shared" si="100"/>
        <v>0</v>
      </c>
      <c r="AE70" s="31" t="s">
        <v>786</v>
      </c>
      <c r="AF70" s="46" t="s">
        <v>767</v>
      </c>
    </row>
    <row r="71" spans="1:32" x14ac:dyDescent="0.25">
      <c r="A71" s="31" t="s">
        <v>781</v>
      </c>
      <c r="B71" s="46" t="s">
        <v>490</v>
      </c>
      <c r="C71" s="37">
        <v>-3472230</v>
      </c>
      <c r="D71" s="37">
        <v>-3472230</v>
      </c>
      <c r="E71" s="37">
        <v>-3472230</v>
      </c>
      <c r="F71" s="37">
        <v>-3472230</v>
      </c>
      <c r="G71" s="37">
        <v>-3472230</v>
      </c>
      <c r="H71" s="37">
        <v>-3472230</v>
      </c>
      <c r="I71" s="37">
        <v>-3472230</v>
      </c>
      <c r="J71" s="37">
        <v>-3472230</v>
      </c>
      <c r="K71" s="37">
        <v>-3472230</v>
      </c>
      <c r="L71" s="37">
        <v>-3472230</v>
      </c>
      <c r="M71" s="37">
        <v>-3472230</v>
      </c>
      <c r="N71" s="37">
        <v>-3472230</v>
      </c>
      <c r="O71" s="37">
        <v>-3472230</v>
      </c>
      <c r="P71" s="115" t="s">
        <v>29</v>
      </c>
      <c r="Q71" s="119">
        <f>IFERROR(VLOOKUP(P71,'A22 (Allocation Factors)'!$D:$F,3,0),0)</f>
        <v>0</v>
      </c>
      <c r="R71" s="41">
        <f t="shared" si="88"/>
        <v>0</v>
      </c>
      <c r="S71" s="41">
        <f t="shared" si="89"/>
        <v>0</v>
      </c>
      <c r="T71" s="41">
        <f t="shared" si="90"/>
        <v>0</v>
      </c>
      <c r="U71" s="41">
        <f t="shared" si="91"/>
        <v>0</v>
      </c>
      <c r="V71" s="41">
        <f t="shared" si="92"/>
        <v>0</v>
      </c>
      <c r="W71" s="41">
        <f t="shared" si="93"/>
        <v>0</v>
      </c>
      <c r="X71" s="41">
        <f t="shared" si="94"/>
        <v>0</v>
      </c>
      <c r="Y71" s="41">
        <f t="shared" si="95"/>
        <v>0</v>
      </c>
      <c r="Z71" s="41">
        <f t="shared" si="96"/>
        <v>0</v>
      </c>
      <c r="AA71" s="41">
        <f t="shared" si="97"/>
        <v>0</v>
      </c>
      <c r="AB71" s="41">
        <f t="shared" si="98"/>
        <v>0</v>
      </c>
      <c r="AC71" s="41">
        <f t="shared" si="99"/>
        <v>0</v>
      </c>
      <c r="AD71" s="41">
        <f t="shared" si="100"/>
        <v>0</v>
      </c>
      <c r="AE71" s="31" t="s">
        <v>786</v>
      </c>
      <c r="AF71" s="46" t="s">
        <v>768</v>
      </c>
    </row>
    <row r="72" spans="1:32" x14ac:dyDescent="0.25">
      <c r="A72" s="31" t="s">
        <v>782</v>
      </c>
      <c r="B72" s="46" t="s">
        <v>518</v>
      </c>
      <c r="C72" s="37">
        <v>-3712453.37</v>
      </c>
      <c r="D72" s="37">
        <v>-3684328.7425000002</v>
      </c>
      <c r="E72" s="37">
        <v>-3656204.1150000002</v>
      </c>
      <c r="F72" s="37">
        <v>-3628079.4875000003</v>
      </c>
      <c r="G72" s="37">
        <v>-3599954.8600000003</v>
      </c>
      <c r="H72" s="37">
        <v>-3571830.2325000004</v>
      </c>
      <c r="I72" s="37">
        <v>-3543705.6050000004</v>
      </c>
      <c r="J72" s="37">
        <v>-3515580.9775000005</v>
      </c>
      <c r="K72" s="37">
        <v>-3487456.3500000006</v>
      </c>
      <c r="L72" s="37">
        <v>-3459331.7225000006</v>
      </c>
      <c r="M72" s="37">
        <v>-3431207.0950000007</v>
      </c>
      <c r="N72" s="37">
        <v>-3403082.4675000007</v>
      </c>
      <c r="O72" s="37">
        <v>-3374957.84</v>
      </c>
      <c r="P72" s="115" t="s">
        <v>29</v>
      </c>
      <c r="Q72" s="119">
        <f>IFERROR(VLOOKUP(P72,'A22 (Allocation Factors)'!$D:$F,3,0),0)</f>
        <v>0</v>
      </c>
      <c r="R72" s="41">
        <f t="shared" si="88"/>
        <v>0</v>
      </c>
      <c r="S72" s="41">
        <f t="shared" si="89"/>
        <v>0</v>
      </c>
      <c r="T72" s="41">
        <f t="shared" si="90"/>
        <v>0</v>
      </c>
      <c r="U72" s="41">
        <f t="shared" si="91"/>
        <v>0</v>
      </c>
      <c r="V72" s="41">
        <f t="shared" si="92"/>
        <v>0</v>
      </c>
      <c r="W72" s="41">
        <f t="shared" si="93"/>
        <v>0</v>
      </c>
      <c r="X72" s="41">
        <f t="shared" si="94"/>
        <v>0</v>
      </c>
      <c r="Y72" s="41">
        <f t="shared" si="95"/>
        <v>0</v>
      </c>
      <c r="Z72" s="41">
        <f t="shared" si="96"/>
        <v>0</v>
      </c>
      <c r="AA72" s="41">
        <f t="shared" si="97"/>
        <v>0</v>
      </c>
      <c r="AB72" s="41">
        <f t="shared" si="98"/>
        <v>0</v>
      </c>
      <c r="AC72" s="41">
        <f t="shared" si="99"/>
        <v>0</v>
      </c>
      <c r="AD72" s="41">
        <f t="shared" si="100"/>
        <v>0</v>
      </c>
      <c r="AE72" s="31" t="s">
        <v>786</v>
      </c>
      <c r="AF72" s="46" t="s">
        <v>768</v>
      </c>
    </row>
    <row r="73" spans="1:32" x14ac:dyDescent="0.25">
      <c r="A73" s="31" t="s">
        <v>783</v>
      </c>
      <c r="B73" s="46" t="s">
        <v>62</v>
      </c>
      <c r="C73" s="37">
        <v>-1527974.71</v>
      </c>
      <c r="D73" s="37">
        <v>-1621861.8741666665</v>
      </c>
      <c r="E73" s="37">
        <v>-1715749.0383333331</v>
      </c>
      <c r="F73" s="37">
        <v>-1809636.2024999997</v>
      </c>
      <c r="G73" s="37">
        <v>-1903523.3666666662</v>
      </c>
      <c r="H73" s="37">
        <v>-1997410.5308333328</v>
      </c>
      <c r="I73" s="37">
        <v>-2091297.6949999994</v>
      </c>
      <c r="J73" s="37">
        <v>-2185184.8591666659</v>
      </c>
      <c r="K73" s="37">
        <v>-2279072.0233333325</v>
      </c>
      <c r="L73" s="37">
        <v>-2372959.1874999991</v>
      </c>
      <c r="M73" s="37">
        <v>-2466846.3516666656</v>
      </c>
      <c r="N73" s="37">
        <v>-2560733.5158333322</v>
      </c>
      <c r="O73" s="37">
        <v>-2654620.6800000002</v>
      </c>
      <c r="P73" s="115" t="s">
        <v>29</v>
      </c>
      <c r="Q73" s="119">
        <f>IFERROR(VLOOKUP(P73,'A22 (Allocation Factors)'!$D:$F,3,0),0)</f>
        <v>0</v>
      </c>
      <c r="R73" s="41">
        <f t="shared" si="88"/>
        <v>0</v>
      </c>
      <c r="S73" s="41">
        <f t="shared" si="89"/>
        <v>0</v>
      </c>
      <c r="T73" s="41">
        <f t="shared" si="90"/>
        <v>0</v>
      </c>
      <c r="U73" s="41">
        <f t="shared" si="91"/>
        <v>0</v>
      </c>
      <c r="V73" s="41">
        <f t="shared" si="92"/>
        <v>0</v>
      </c>
      <c r="W73" s="41">
        <f t="shared" si="93"/>
        <v>0</v>
      </c>
      <c r="X73" s="41">
        <f t="shared" si="94"/>
        <v>0</v>
      </c>
      <c r="Y73" s="41">
        <f t="shared" si="95"/>
        <v>0</v>
      </c>
      <c r="Z73" s="41">
        <f t="shared" si="96"/>
        <v>0</v>
      </c>
      <c r="AA73" s="41">
        <f t="shared" si="97"/>
        <v>0</v>
      </c>
      <c r="AB73" s="41">
        <f t="shared" si="98"/>
        <v>0</v>
      </c>
      <c r="AC73" s="41">
        <f t="shared" si="99"/>
        <v>0</v>
      </c>
      <c r="AD73" s="41">
        <f t="shared" si="100"/>
        <v>0</v>
      </c>
      <c r="AE73" s="31" t="s">
        <v>786</v>
      </c>
      <c r="AF73" s="46" t="s">
        <v>898</v>
      </c>
    </row>
    <row r="74" spans="1:32" x14ac:dyDescent="0.25">
      <c r="A74" s="31" t="s">
        <v>784</v>
      </c>
      <c r="B74" s="46" t="s">
        <v>500</v>
      </c>
      <c r="C74" s="37">
        <v>389006.19</v>
      </c>
      <c r="D74" s="37">
        <v>461372.35583333333</v>
      </c>
      <c r="E74" s="37">
        <v>533738.52166666673</v>
      </c>
      <c r="F74" s="37">
        <v>606104.6875</v>
      </c>
      <c r="G74" s="37">
        <v>678470.85333333327</v>
      </c>
      <c r="H74" s="37">
        <v>750837.01916666655</v>
      </c>
      <c r="I74" s="37">
        <v>823203.18499999982</v>
      </c>
      <c r="J74" s="37">
        <v>895569.3508333331</v>
      </c>
      <c r="K74" s="37">
        <v>967935.51666666637</v>
      </c>
      <c r="L74" s="37">
        <v>1040301.6824999996</v>
      </c>
      <c r="M74" s="37">
        <v>1112667.8483333329</v>
      </c>
      <c r="N74" s="37">
        <v>1185034.0141666662</v>
      </c>
      <c r="O74" s="37">
        <v>1257400.18</v>
      </c>
      <c r="P74" s="115" t="s">
        <v>29</v>
      </c>
      <c r="Q74" s="119">
        <f>IFERROR(VLOOKUP(P74,'A22 (Allocation Factors)'!$D:$F,3,0),0)</f>
        <v>0</v>
      </c>
      <c r="R74" s="41">
        <f t="shared" si="88"/>
        <v>0</v>
      </c>
      <c r="S74" s="41">
        <f t="shared" si="89"/>
        <v>0</v>
      </c>
      <c r="T74" s="41">
        <f t="shared" si="90"/>
        <v>0</v>
      </c>
      <c r="U74" s="41">
        <f t="shared" si="91"/>
        <v>0</v>
      </c>
      <c r="V74" s="41">
        <f t="shared" si="92"/>
        <v>0</v>
      </c>
      <c r="W74" s="41">
        <f t="shared" si="93"/>
        <v>0</v>
      </c>
      <c r="X74" s="41">
        <f t="shared" si="94"/>
        <v>0</v>
      </c>
      <c r="Y74" s="41">
        <f t="shared" si="95"/>
        <v>0</v>
      </c>
      <c r="Z74" s="41">
        <f t="shared" si="96"/>
        <v>0</v>
      </c>
      <c r="AA74" s="41">
        <f t="shared" si="97"/>
        <v>0</v>
      </c>
      <c r="AB74" s="41">
        <f t="shared" si="98"/>
        <v>0</v>
      </c>
      <c r="AC74" s="41">
        <f t="shared" si="99"/>
        <v>0</v>
      </c>
      <c r="AD74" s="41">
        <f t="shared" si="100"/>
        <v>0</v>
      </c>
      <c r="AE74" s="31" t="s">
        <v>786</v>
      </c>
      <c r="AF74" s="46" t="s">
        <v>898</v>
      </c>
    </row>
    <row r="75" spans="1:32" x14ac:dyDescent="0.25">
      <c r="A75" s="31" t="s">
        <v>357</v>
      </c>
      <c r="B75" s="46" t="s">
        <v>357</v>
      </c>
      <c r="C75" s="37"/>
      <c r="D75" s="37"/>
      <c r="E75" s="37"/>
      <c r="F75" s="37"/>
      <c r="G75" s="37"/>
      <c r="H75" s="37"/>
      <c r="I75" s="37"/>
      <c r="J75" s="37"/>
      <c r="K75" s="37"/>
      <c r="L75" s="37"/>
      <c r="M75" s="37"/>
      <c r="N75" s="37"/>
      <c r="O75" s="37"/>
      <c r="P75" s="115" t="s">
        <v>357</v>
      </c>
      <c r="Q75" s="119">
        <f>IFERROR(VLOOKUP(P75,'A22 (Allocation Factors)'!$D:$F,3,0),0)</f>
        <v>0</v>
      </c>
      <c r="R75" s="41">
        <f t="shared" si="88"/>
        <v>0</v>
      </c>
      <c r="S75" s="41">
        <f t="shared" si="89"/>
        <v>0</v>
      </c>
      <c r="T75" s="41">
        <f t="shared" si="90"/>
        <v>0</v>
      </c>
      <c r="U75" s="41">
        <f t="shared" si="91"/>
        <v>0</v>
      </c>
      <c r="V75" s="41">
        <f t="shared" si="92"/>
        <v>0</v>
      </c>
      <c r="W75" s="41">
        <f t="shared" si="93"/>
        <v>0</v>
      </c>
      <c r="X75" s="41">
        <f t="shared" si="94"/>
        <v>0</v>
      </c>
      <c r="Y75" s="41">
        <f t="shared" si="95"/>
        <v>0</v>
      </c>
      <c r="Z75" s="41">
        <f t="shared" si="96"/>
        <v>0</v>
      </c>
      <c r="AA75" s="41">
        <f t="shared" si="97"/>
        <v>0</v>
      </c>
      <c r="AB75" s="41">
        <f t="shared" si="98"/>
        <v>0</v>
      </c>
      <c r="AC75" s="41">
        <f t="shared" si="99"/>
        <v>0</v>
      </c>
      <c r="AD75" s="41">
        <f t="shared" si="100"/>
        <v>0</v>
      </c>
      <c r="AE75" s="31" t="s">
        <v>357</v>
      </c>
      <c r="AF75" s="46" t="s">
        <v>357</v>
      </c>
    </row>
    <row r="76" spans="1:32" x14ac:dyDescent="0.25">
      <c r="A76" s="101" t="s">
        <v>559</v>
      </c>
      <c r="B76" s="54" t="s">
        <v>357</v>
      </c>
      <c r="C76" s="55"/>
      <c r="D76" s="55"/>
      <c r="E76" s="55"/>
      <c r="F76" s="55"/>
      <c r="G76" s="55"/>
      <c r="H76" s="55"/>
      <c r="I76" s="55"/>
      <c r="J76" s="55"/>
      <c r="K76" s="55"/>
      <c r="L76" s="55"/>
      <c r="M76" s="55"/>
      <c r="N76" s="55"/>
      <c r="O76" s="55"/>
      <c r="P76" s="122" t="s">
        <v>357</v>
      </c>
      <c r="Q76" s="124">
        <f>IFERROR(VLOOKUP(P76,'A22 (Allocation Factors)'!$D:$F,3,0),0)</f>
        <v>0</v>
      </c>
      <c r="R76" s="41">
        <f t="shared" si="88"/>
        <v>0</v>
      </c>
      <c r="S76" s="41">
        <f t="shared" si="89"/>
        <v>0</v>
      </c>
      <c r="T76" s="41">
        <f t="shared" si="90"/>
        <v>0</v>
      </c>
      <c r="U76" s="41">
        <f t="shared" si="91"/>
        <v>0</v>
      </c>
      <c r="V76" s="41">
        <f t="shared" si="92"/>
        <v>0</v>
      </c>
      <c r="W76" s="41">
        <f t="shared" si="93"/>
        <v>0</v>
      </c>
      <c r="X76" s="41">
        <f t="shared" si="94"/>
        <v>0</v>
      </c>
      <c r="Y76" s="41">
        <f t="shared" si="95"/>
        <v>0</v>
      </c>
      <c r="Z76" s="41">
        <f t="shared" si="96"/>
        <v>0</v>
      </c>
      <c r="AA76" s="41">
        <f t="shared" si="97"/>
        <v>0</v>
      </c>
      <c r="AB76" s="41">
        <f t="shared" si="98"/>
        <v>0</v>
      </c>
      <c r="AC76" s="41">
        <f t="shared" si="99"/>
        <v>0</v>
      </c>
      <c r="AD76" s="41">
        <f t="shared" si="100"/>
        <v>0</v>
      </c>
      <c r="AE76" s="31" t="s">
        <v>357</v>
      </c>
      <c r="AF76" s="53" t="s">
        <v>357</v>
      </c>
    </row>
    <row r="77" spans="1:32" s="6" customFormat="1" x14ac:dyDescent="0.25">
      <c r="A77" s="88">
        <v>10</v>
      </c>
      <c r="B77" s="89" t="str">
        <f>"Total Account No. 283 (Sum Lns. "&amp;A64&amp;" through "&amp;A76&amp;")"</f>
        <v>Total Account No. 283 (Sum Lns. 9a through 9zz)</v>
      </c>
      <c r="C77" s="90">
        <f>SUM(C64:C76)</f>
        <v>-32347599.790000003</v>
      </c>
      <c r="D77" s="90">
        <f t="shared" ref="D77:O77" si="101">SUM(D64:D76)</f>
        <v>-33218778.765833329</v>
      </c>
      <c r="E77" s="90">
        <f t="shared" si="101"/>
        <v>-34089957.741666667</v>
      </c>
      <c r="F77" s="90">
        <f t="shared" si="101"/>
        <v>-34961136.717500001</v>
      </c>
      <c r="G77" s="90">
        <f t="shared" si="101"/>
        <v>-35832315.693333343</v>
      </c>
      <c r="H77" s="90">
        <f t="shared" si="101"/>
        <v>-36703494.669166669</v>
      </c>
      <c r="I77" s="90">
        <f t="shared" si="101"/>
        <v>-37574673.645000003</v>
      </c>
      <c r="J77" s="90">
        <f t="shared" si="101"/>
        <v>-38445852.620833337</v>
      </c>
      <c r="K77" s="90">
        <f t="shared" si="101"/>
        <v>-39317031.596666679</v>
      </c>
      <c r="L77" s="90">
        <f t="shared" si="101"/>
        <v>-40188210.572500005</v>
      </c>
      <c r="M77" s="90">
        <f t="shared" si="101"/>
        <v>-41059389.548333339</v>
      </c>
      <c r="N77" s="90">
        <f t="shared" si="101"/>
        <v>-41930568.524166673</v>
      </c>
      <c r="O77" s="90">
        <f t="shared" si="101"/>
        <v>-42801747.5</v>
      </c>
      <c r="P77" s="90"/>
      <c r="Q77" s="90"/>
      <c r="R77" s="90">
        <f t="shared" ref="R77" si="102">SUM(R64:R76)</f>
        <v>-330492.52087947109</v>
      </c>
      <c r="S77" s="90">
        <f t="shared" ref="S77" si="103">SUM(S64:S76)</f>
        <v>-332698.36962910538</v>
      </c>
      <c r="T77" s="90">
        <f t="shared" ref="T77" si="104">SUM(T64:T76)</f>
        <v>-334904.21837873961</v>
      </c>
      <c r="U77" s="90">
        <f t="shared" ref="U77" si="105">SUM(U64:U76)</f>
        <v>-337110.06712837389</v>
      </c>
      <c r="V77" s="90">
        <f t="shared" ref="V77" si="106">SUM(V64:V76)</f>
        <v>-339315.91587800818</v>
      </c>
      <c r="W77" s="90">
        <f t="shared" ref="W77" si="107">SUM(W64:W76)</f>
        <v>-341521.76462764241</v>
      </c>
      <c r="X77" s="90">
        <f t="shared" ref="X77" si="108">SUM(X64:X76)</f>
        <v>-343727.61337727669</v>
      </c>
      <c r="Y77" s="90">
        <f t="shared" ref="Y77" si="109">SUM(Y64:Y76)</f>
        <v>-345933.46212691098</v>
      </c>
      <c r="Z77" s="90">
        <f t="shared" ref="Z77" si="110">SUM(Z64:Z76)</f>
        <v>-348139.31087654521</v>
      </c>
      <c r="AA77" s="90">
        <f t="shared" ref="AA77" si="111">SUM(AA64:AA76)</f>
        <v>-350345.15962617949</v>
      </c>
      <c r="AB77" s="90">
        <f t="shared" ref="AB77" si="112">SUM(AB64:AB76)</f>
        <v>-352551.00837581378</v>
      </c>
      <c r="AC77" s="90">
        <f t="shared" ref="AC77" si="113">SUM(AC64:AC76)</f>
        <v>-354756.85712544806</v>
      </c>
      <c r="AD77" s="90">
        <f t="shared" ref="AD77" si="114">SUM(AD64:AD76)</f>
        <v>-356962.70587508258</v>
      </c>
      <c r="AE77" s="90"/>
      <c r="AF77" s="90"/>
    </row>
    <row r="78" spans="1:32" x14ac:dyDescent="0.25">
      <c r="B78" s="6"/>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row>
    <row r="79" spans="1:32" s="127" customFormat="1" x14ac:dyDescent="0.25">
      <c r="A79" s="126">
        <f>A77+1</f>
        <v>11</v>
      </c>
      <c r="B79" s="127" t="s">
        <v>1154</v>
      </c>
      <c r="C79" s="128">
        <f>SUMIF($AE$64:$AE$76,"Yes",C$64:C$76)</f>
        <v>-2724046.4</v>
      </c>
      <c r="D79" s="128">
        <f t="shared" ref="D79:O79" si="115">SUMIF($AE$64:$AE$76,"Yes",D$64:D$76)</f>
        <v>-2742227.853333333</v>
      </c>
      <c r="E79" s="128">
        <f t="shared" si="115"/>
        <v>-2760409.3066666662</v>
      </c>
      <c r="F79" s="128">
        <f t="shared" si="115"/>
        <v>-2778590.7599999993</v>
      </c>
      <c r="G79" s="128">
        <f t="shared" si="115"/>
        <v>-2796772.2133333324</v>
      </c>
      <c r="H79" s="128">
        <f t="shared" si="115"/>
        <v>-2814953.6666666656</v>
      </c>
      <c r="I79" s="128">
        <f t="shared" si="115"/>
        <v>-2833135.1199999987</v>
      </c>
      <c r="J79" s="128">
        <f t="shared" si="115"/>
        <v>-2851316.5733333318</v>
      </c>
      <c r="K79" s="128">
        <f t="shared" si="115"/>
        <v>-2869498.026666665</v>
      </c>
      <c r="L79" s="128">
        <f t="shared" si="115"/>
        <v>-2887679.4799999981</v>
      </c>
      <c r="M79" s="128">
        <f t="shared" si="115"/>
        <v>-2905860.9333333313</v>
      </c>
      <c r="N79" s="128">
        <f t="shared" si="115"/>
        <v>-2924042.3866666644</v>
      </c>
      <c r="O79" s="128">
        <f t="shared" si="115"/>
        <v>-2942223.84</v>
      </c>
      <c r="P79" s="128"/>
      <c r="Q79" s="128"/>
      <c r="R79" s="128">
        <f>SUMIF($AE$64:$AE$76,"Yes",R$64:R$76)</f>
        <v>-330492.52087947109</v>
      </c>
      <c r="S79" s="128">
        <f t="shared" ref="S79:AD79" si="116">SUMIF($AE$64:$AE$76,"Yes",S$64:S$76)</f>
        <v>-332698.36962910538</v>
      </c>
      <c r="T79" s="128">
        <f t="shared" si="116"/>
        <v>-334904.21837873961</v>
      </c>
      <c r="U79" s="128">
        <f t="shared" si="116"/>
        <v>-337110.06712837389</v>
      </c>
      <c r="V79" s="128">
        <f t="shared" si="116"/>
        <v>-339315.91587800818</v>
      </c>
      <c r="W79" s="128">
        <f t="shared" si="116"/>
        <v>-341521.76462764241</v>
      </c>
      <c r="X79" s="128">
        <f t="shared" si="116"/>
        <v>-343727.61337727669</v>
      </c>
      <c r="Y79" s="128">
        <f t="shared" si="116"/>
        <v>-345933.46212691098</v>
      </c>
      <c r="Z79" s="128">
        <f t="shared" si="116"/>
        <v>-348139.31087654521</v>
      </c>
      <c r="AA79" s="128">
        <f t="shared" si="116"/>
        <v>-350345.15962617949</v>
      </c>
      <c r="AB79" s="128">
        <f t="shared" si="116"/>
        <v>-352551.00837581378</v>
      </c>
      <c r="AC79" s="128">
        <f t="shared" si="116"/>
        <v>-354756.85712544806</v>
      </c>
      <c r="AD79" s="128">
        <f t="shared" si="116"/>
        <v>-356962.70587508258</v>
      </c>
      <c r="AE79" s="128"/>
      <c r="AF79" s="128"/>
    </row>
    <row r="80" spans="1:32" s="127" customFormat="1" hidden="1" x14ac:dyDescent="0.25">
      <c r="A80" s="126"/>
      <c r="C80" s="128"/>
      <c r="D80" s="128"/>
      <c r="E80" s="128"/>
      <c r="F80" s="128"/>
      <c r="G80" s="128"/>
      <c r="H80" s="128"/>
      <c r="I80" s="128"/>
      <c r="J80" s="128"/>
      <c r="K80" s="128"/>
      <c r="L80" s="128"/>
      <c r="M80" s="128"/>
      <c r="N80" s="128"/>
      <c r="O80" s="128"/>
      <c r="P80" s="128"/>
      <c r="Q80" s="128"/>
      <c r="R80" s="128"/>
      <c r="S80" s="128">
        <f>S79-R79</f>
        <v>-2205.8487496342859</v>
      </c>
      <c r="T80" s="128">
        <f t="shared" ref="T80" si="117">T79-S79</f>
        <v>-2205.8487496342277</v>
      </c>
      <c r="U80" s="128">
        <f t="shared" ref="U80" si="118">U79-T79</f>
        <v>-2205.8487496342859</v>
      </c>
      <c r="V80" s="128">
        <f t="shared" ref="V80" si="119">V79-U79</f>
        <v>-2205.8487496342859</v>
      </c>
      <c r="W80" s="128">
        <f t="shared" ref="W80" si="120">W79-V79</f>
        <v>-2205.8487496342277</v>
      </c>
      <c r="X80" s="128">
        <f t="shared" ref="X80" si="121">X79-W79</f>
        <v>-2205.8487496342859</v>
      </c>
      <c r="Y80" s="128">
        <f t="shared" ref="Y80" si="122">Y79-X79</f>
        <v>-2205.8487496342859</v>
      </c>
      <c r="Z80" s="128">
        <f t="shared" ref="Z80" si="123">Z79-Y79</f>
        <v>-2205.8487496342277</v>
      </c>
      <c r="AA80" s="128">
        <f t="shared" ref="AA80" si="124">AA79-Z79</f>
        <v>-2205.8487496342859</v>
      </c>
      <c r="AB80" s="128">
        <f t="shared" ref="AB80" si="125">AB79-AA79</f>
        <v>-2205.8487496342859</v>
      </c>
      <c r="AC80" s="128">
        <f t="shared" ref="AC80" si="126">AC79-AB79</f>
        <v>-2205.8487496342859</v>
      </c>
      <c r="AD80" s="128">
        <f t="shared" ref="AD80" si="127">AD79-AC79</f>
        <v>-2205.8487496345188</v>
      </c>
      <c r="AE80" s="128"/>
      <c r="AF80" s="128"/>
    </row>
    <row r="81" spans="1:32" s="127" customFormat="1" x14ac:dyDescent="0.25">
      <c r="A81" s="126">
        <f>A79+1</f>
        <v>12</v>
      </c>
      <c r="B81" s="127" t="s">
        <v>801</v>
      </c>
      <c r="C81" s="128">
        <f>SUMIF($AE$64:$AE$76,"No",C$64:C$76)</f>
        <v>-29623553.390000004</v>
      </c>
      <c r="D81" s="128">
        <f t="shared" ref="D81:O81" si="128">SUMIF($AE$64:$AE$76,"No",D$64:D$76)</f>
        <v>-30476550.912500001</v>
      </c>
      <c r="E81" s="128">
        <f t="shared" si="128"/>
        <v>-31329548.435000002</v>
      </c>
      <c r="F81" s="128">
        <f t="shared" si="128"/>
        <v>-32182545.957500003</v>
      </c>
      <c r="G81" s="128">
        <f t="shared" si="128"/>
        <v>-33035543.480000004</v>
      </c>
      <c r="H81" s="128">
        <f t="shared" si="128"/>
        <v>-33888541.002500005</v>
      </c>
      <c r="I81" s="128">
        <f t="shared" si="128"/>
        <v>-34741538.524999999</v>
      </c>
      <c r="J81" s="128">
        <f t="shared" si="128"/>
        <v>-35594536.047500007</v>
      </c>
      <c r="K81" s="128">
        <f t="shared" si="128"/>
        <v>-36447533.570000008</v>
      </c>
      <c r="L81" s="128">
        <f t="shared" si="128"/>
        <v>-37300531.092500009</v>
      </c>
      <c r="M81" s="128">
        <f t="shared" si="128"/>
        <v>-38153528.61500001</v>
      </c>
      <c r="N81" s="128">
        <f t="shared" si="128"/>
        <v>-39006526.13750001</v>
      </c>
      <c r="O81" s="128">
        <f t="shared" si="128"/>
        <v>-39859523.659999996</v>
      </c>
      <c r="P81" s="128"/>
      <c r="Q81" s="128"/>
      <c r="R81" s="128">
        <f>SUMIF($AE$64:$AE$76,"No",R$64:R$76)</f>
        <v>0</v>
      </c>
      <c r="S81" s="128">
        <f t="shared" ref="S81:AD81" si="129">SUMIF($AE$64:$AE$76,"No",S$64:S$76)</f>
        <v>0</v>
      </c>
      <c r="T81" s="128">
        <f t="shared" si="129"/>
        <v>0</v>
      </c>
      <c r="U81" s="128">
        <f t="shared" si="129"/>
        <v>0</v>
      </c>
      <c r="V81" s="128">
        <f t="shared" si="129"/>
        <v>0</v>
      </c>
      <c r="W81" s="128">
        <f t="shared" si="129"/>
        <v>0</v>
      </c>
      <c r="X81" s="128">
        <f t="shared" si="129"/>
        <v>0</v>
      </c>
      <c r="Y81" s="128">
        <f t="shared" si="129"/>
        <v>0</v>
      </c>
      <c r="Z81" s="128">
        <f t="shared" si="129"/>
        <v>0</v>
      </c>
      <c r="AA81" s="128">
        <f t="shared" si="129"/>
        <v>0</v>
      </c>
      <c r="AB81" s="128">
        <f t="shared" si="129"/>
        <v>0</v>
      </c>
      <c r="AC81" s="128">
        <f t="shared" si="129"/>
        <v>0</v>
      </c>
      <c r="AD81" s="128">
        <f t="shared" si="129"/>
        <v>0</v>
      </c>
      <c r="AE81" s="128"/>
      <c r="AF81" s="128"/>
    </row>
    <row r="83" spans="1:32" s="6" customFormat="1" ht="16.5" thickBot="1" x14ac:dyDescent="0.3">
      <c r="A83" s="56">
        <f>A81+1</f>
        <v>13</v>
      </c>
      <c r="B83" s="57" t="str">
        <f>"Total ADIT (Lns. "&amp;A40&amp;" + "&amp;A57&amp;" + "&amp;A77&amp;")"</f>
        <v>Total ADIT (Lns. 2 + 6 + 10)</v>
      </c>
      <c r="C83" s="29">
        <f t="shared" ref="C83:O83" si="130">C40+C57+C77</f>
        <v>-344207446.52000004</v>
      </c>
      <c r="D83" s="29">
        <f t="shared" si="130"/>
        <v>-345829895.05583328</v>
      </c>
      <c r="E83" s="29">
        <f t="shared" si="130"/>
        <v>-347452343.5916667</v>
      </c>
      <c r="F83" s="29">
        <f t="shared" si="130"/>
        <v>-349074792.12749994</v>
      </c>
      <c r="G83" s="29">
        <f t="shared" si="130"/>
        <v>-350697240.66333324</v>
      </c>
      <c r="H83" s="29">
        <f t="shared" si="130"/>
        <v>-352319689.19916666</v>
      </c>
      <c r="I83" s="29">
        <f t="shared" si="130"/>
        <v>-353942137.7349999</v>
      </c>
      <c r="J83" s="29">
        <f t="shared" si="130"/>
        <v>-355564586.27083313</v>
      </c>
      <c r="K83" s="29">
        <f t="shared" si="130"/>
        <v>-357187034.80666661</v>
      </c>
      <c r="L83" s="29">
        <f t="shared" si="130"/>
        <v>-358809483.34249985</v>
      </c>
      <c r="M83" s="29">
        <f t="shared" si="130"/>
        <v>-360431931.87833315</v>
      </c>
      <c r="N83" s="29">
        <f t="shared" si="130"/>
        <v>-362054380.41416657</v>
      </c>
      <c r="O83" s="29">
        <f t="shared" si="130"/>
        <v>-363676828.94999999</v>
      </c>
      <c r="P83" s="29"/>
      <c r="Q83" s="29"/>
      <c r="R83" s="29">
        <f>R40+R57+R77</f>
        <v>-47480563.735491596</v>
      </c>
      <c r="S83" s="29">
        <f t="shared" ref="S83:AC83" si="131">S40+S57+S77</f>
        <v>-47588720.127973467</v>
      </c>
      <c r="T83" s="29">
        <f t="shared" si="131"/>
        <v>-47696876.520455331</v>
      </c>
      <c r="U83" s="29">
        <f t="shared" si="131"/>
        <v>-47805032.912937194</v>
      </c>
      <c r="V83" s="29">
        <f t="shared" si="131"/>
        <v>-47913189.305419058</v>
      </c>
      <c r="W83" s="29">
        <f t="shared" si="131"/>
        <v>-48021345.697900929</v>
      </c>
      <c r="X83" s="29">
        <f t="shared" si="131"/>
        <v>-48129502.0903828</v>
      </c>
      <c r="Y83" s="29">
        <f t="shared" si="131"/>
        <v>-48237658.48286467</v>
      </c>
      <c r="Z83" s="29">
        <f t="shared" si="131"/>
        <v>-48345814.875346534</v>
      </c>
      <c r="AA83" s="29">
        <f t="shared" si="131"/>
        <v>-48453971.267828405</v>
      </c>
      <c r="AB83" s="29">
        <f t="shared" si="131"/>
        <v>-48562127.660310276</v>
      </c>
      <c r="AC83" s="29">
        <f t="shared" si="131"/>
        <v>-48670284.052792139</v>
      </c>
      <c r="AD83" s="29">
        <f>AD40+AD57+AD77</f>
        <v>-48778440.445274033</v>
      </c>
      <c r="AE83" s="29"/>
      <c r="AF83" s="29"/>
    </row>
    <row r="84" spans="1:32" ht="5.25" customHeight="1" thickTop="1" x14ac:dyDescent="0.25">
      <c r="A84" s="14"/>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row>
    <row r="85" spans="1:32" ht="5.25" customHeight="1" x14ac:dyDescent="0.25"/>
    <row r="86" spans="1:32" x14ac:dyDescent="0.25">
      <c r="A86" s="22" t="str">
        <f>note</f>
        <v>Notes and Sources:</v>
      </c>
    </row>
    <row r="87" spans="1:32" ht="65.25" customHeight="1" x14ac:dyDescent="0.25">
      <c r="A87" s="85">
        <v>1</v>
      </c>
      <c r="B87" s="87" t="str">
        <f>"Unless otherwise stated, source of shaded cells is company input/records. Lines "&amp;A13&amp;" through "&amp;A39&amp;", "&amp;A47&amp;" through "&amp;A56&amp;" and "&amp;A64&amp;" through "&amp;A76&amp;" represent adjustable lines that may be expanded/compressed on an annual basis to provide for a sufficient breakout of ADIT items."</f>
        <v>Unless otherwise stated, source of shaded cells is company input/records. Lines 1a through 1zz, 5a through 5zz and 9a through 9zz represent adjustable lines that may be expanded/compressed on an annual basis to provide for a sufficient breakout of ADIT items.</v>
      </c>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row>
    <row r="88" spans="1:32" ht="47.25" x14ac:dyDescent="0.25">
      <c r="A88" s="85">
        <v>2</v>
      </c>
      <c r="B88" s="87" t="str">
        <f>"Total company Account No. 190 balances shown on line "&amp;A40&amp;" must match the balances showns on "&amp;'A1 (FF1 Inputs)'!$E$1&amp;", line "&amp;'A1 (FF1 Inputs)'!A67&amp;", which are taken from the Company's FERC Form No. 1."</f>
        <v>Total company Account No. 190 balances shown on line 2 must match the balances showns on Worksheet A1, line 42, which are taken from the Company's FERC Form No. 1.</v>
      </c>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row>
    <row r="89" spans="1:32" ht="47.25" x14ac:dyDescent="0.25">
      <c r="A89" s="85">
        <v>3</v>
      </c>
      <c r="B89" s="87" t="str">
        <f>"Total company Account No. 282 balances shown on line "&amp;A57&amp;" must match the balances showns on "&amp;'A1 (FF1 Inputs)'!$E$1&amp;", line "&amp;'A1 (FF1 Inputs)'!A69&amp;", which are taken from the Company's FERC Form No. 1."</f>
        <v>Total company Account No. 282 balances shown on line 6 must match the balances showns on Worksheet A1, line 44, which are taken from the Company's FERC Form No. 1.</v>
      </c>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row>
    <row r="90" spans="1:32" ht="47.25" x14ac:dyDescent="0.25">
      <c r="A90" s="85">
        <v>4</v>
      </c>
      <c r="B90" s="87" t="str">
        <f>"Total company Account No. 283 balances shown on line "&amp;A77&amp;" must match the balances showns on "&amp;'A1 (FF1 Inputs)'!$E$1&amp;", line "&amp;'A1 (FF1 Inputs)'!A70&amp;", which are taken from the Company's FERC Form No. 1."</f>
        <v>Total company Account No. 283 balances shown on line 10 must match the balances showns on Worksheet A1, line 45, which are taken from the Company's FERC Form No. 1.</v>
      </c>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row>
    <row r="91" spans="1:32" ht="65.25" customHeight="1" x14ac:dyDescent="0.25">
      <c r="A91" s="85">
        <v>5</v>
      </c>
      <c r="B91" s="87" t="str">
        <f>"Enter 'Yes' or 'No.' Only plant-related ADIT balances are subject to prorationing. Values on lines "&amp;A42&amp;", "&amp;A44&amp;", "&amp;A59&amp;", "&amp;A61&amp;", "&amp;A79&amp;", and "&amp;A81&amp;" will populate automatically based on the inputs to column "&amp;AE9&amp;". Inputs only needed for ADIT items with non-zero allocations to network transmission rates."</f>
        <v>Enter 'Yes' or 'No.' Only plant-related ADIT balances are subject to prorationing. Values on lines 3, 4, 7, 8, 11, and 12 will populate automatically based on the inputs to column [dd]. Inputs only needed for ADIT items with non-zero allocations to network transmission rates.</v>
      </c>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row>
    <row r="92" spans="1:32" ht="63" x14ac:dyDescent="0.25">
      <c r="A92" s="85">
        <v>6</v>
      </c>
      <c r="B92" s="87" t="str">
        <f>"Only network allocator codes listed on "&amp;'A22 (Allocation Factors)'!F1&amp;" may be inputed. Only deferred taxes related to rate base, construction, or other costs and revenues affecting jurisdictional cost-of-service may be included as rate base reductions/additions."</f>
        <v>Only network allocator codes listed on Worksheet A22 may be inputed. Only deferred taxes related to rate base, construction, or other costs and revenues affecting jurisdictional cost-of-service may be included as rate base reductions/additions.</v>
      </c>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row>
    <row r="93" spans="1:32" ht="5.25" customHeight="1" thickBot="1" x14ac:dyDescent="0.3">
      <c r="A93" s="2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row>
    <row r="94" spans="1:32" ht="5.25" customHeight="1" thickTop="1" x14ac:dyDescent="0.25"/>
  </sheetData>
  <mergeCells count="7">
    <mergeCell ref="R7:AD7"/>
    <mergeCell ref="AF7:AF8"/>
    <mergeCell ref="A7:A9"/>
    <mergeCell ref="B7:B8"/>
    <mergeCell ref="P7:Q7"/>
    <mergeCell ref="C7:O7"/>
    <mergeCell ref="AE7:AE8"/>
  </mergeCells>
  <phoneticPr fontId="7" type="noConversion"/>
  <pageMargins left="0.7" right="0.7" top="0.75" bottom="0.75" header="0.3" footer="0.3"/>
  <pageSetup scale="45" pageOrder="overThenDown" orientation="landscape" horizontalDpi="1200" verticalDpi="1200" r:id="rId1"/>
  <headerFooter>
    <oddFooter>&amp;L&amp;6{W0327924.2 }</oddFooter>
  </headerFooter>
  <rowBreaks count="3" manualBreakCount="3">
    <brk id="44" max="31" man="1"/>
    <brk id="61" max="31" man="1"/>
    <brk id="83" max="31" man="1"/>
  </rowBreaks>
  <colBreaks count="2" manualBreakCount="2">
    <brk id="15" max="82" man="1"/>
    <brk id="28" max="8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I52"/>
  <sheetViews>
    <sheetView workbookViewId="0"/>
  </sheetViews>
  <sheetFormatPr defaultRowHeight="15.75" x14ac:dyDescent="0.25"/>
  <cols>
    <col min="1" max="1" width="5" style="1" customWidth="1"/>
    <col min="2" max="2" width="69.125" customWidth="1"/>
    <col min="3" max="15" width="14.125" customWidth="1"/>
    <col min="16" max="16" width="8.625" customWidth="1"/>
    <col min="18" max="31" width="14.125" customWidth="1"/>
    <col min="32" max="33" width="11.625" customWidth="1"/>
    <col min="34" max="34" width="28.125" bestFit="1" customWidth="1"/>
    <col min="35" max="35" width="82.25" bestFit="1" customWidth="1"/>
    <col min="36" max="36" width="14.125" bestFit="1" customWidth="1"/>
  </cols>
  <sheetData>
    <row r="1" spans="1:35" x14ac:dyDescent="0.25">
      <c r="A1" s="6" t="str">
        <f>epe</f>
        <v>El Paso Electric Company</v>
      </c>
      <c r="I1" s="8" t="str">
        <f>$AI$1</f>
        <v>Worksheet A9</v>
      </c>
      <c r="Q1" s="8" t="str">
        <f>$AI$1</f>
        <v>Worksheet A9</v>
      </c>
      <c r="W1" s="8"/>
      <c r="X1" s="8" t="str">
        <f>$AI$1</f>
        <v>Worksheet A9</v>
      </c>
      <c r="AE1" s="8" t="str">
        <f>$AI$1</f>
        <v>Worksheet A9</v>
      </c>
      <c r="AI1" s="8" t="s">
        <v>449</v>
      </c>
    </row>
    <row r="2" spans="1:35" x14ac:dyDescent="0.25">
      <c r="A2" t="str">
        <f>frta</f>
        <v>Formula Rate Template (Actuals)</v>
      </c>
      <c r="O2" s="10"/>
    </row>
    <row r="3" spans="1:35" x14ac:dyDescent="0.25">
      <c r="A3" t="s">
        <v>803</v>
      </c>
      <c r="O3" s="10"/>
    </row>
    <row r="4" spans="1:35" x14ac:dyDescent="0.25">
      <c r="A4" t="str">
        <f>"12 Months Ended December 31, "&amp;YEAR('A1 (FF1 Inputs)'!$E$12)</f>
        <v>12 Months Ended December 31, 2020</v>
      </c>
    </row>
    <row r="5" spans="1:35"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ht="5.25" customHeight="1" thickTop="1" x14ac:dyDescent="0.25">
      <c r="A6"/>
    </row>
    <row r="7" spans="1:35" s="40" customFormat="1" ht="15.75" customHeight="1" x14ac:dyDescent="0.25">
      <c r="A7" s="266" t="str">
        <f>ln</f>
        <v>Line No.</v>
      </c>
      <c r="B7" s="278" t="s">
        <v>2</v>
      </c>
      <c r="C7" s="276" t="s">
        <v>1034</v>
      </c>
      <c r="D7" s="276"/>
      <c r="E7" s="276"/>
      <c r="F7" s="276"/>
      <c r="G7" s="276"/>
      <c r="H7" s="276"/>
      <c r="I7" s="276"/>
      <c r="J7" s="276"/>
      <c r="K7" s="276" t="s">
        <v>772</v>
      </c>
      <c r="L7" s="276"/>
      <c r="M7" s="276"/>
      <c r="N7" s="276"/>
      <c r="O7" s="276"/>
      <c r="P7" s="281" t="s">
        <v>393</v>
      </c>
      <c r="Q7" s="281"/>
      <c r="R7" s="276" t="s">
        <v>773</v>
      </c>
      <c r="S7" s="276"/>
      <c r="T7" s="276"/>
      <c r="U7" s="276"/>
      <c r="V7" s="276"/>
      <c r="W7" s="276"/>
      <c r="X7" s="276"/>
      <c r="Y7" s="276" t="s">
        <v>773</v>
      </c>
      <c r="Z7" s="276"/>
      <c r="AA7" s="276"/>
      <c r="AB7" s="276"/>
      <c r="AC7" s="276"/>
      <c r="AD7" s="276"/>
      <c r="AE7" s="277" t="s">
        <v>804</v>
      </c>
      <c r="AF7" s="280" t="s">
        <v>896</v>
      </c>
      <c r="AG7" s="277" t="s">
        <v>885</v>
      </c>
      <c r="AH7" s="277" t="s">
        <v>519</v>
      </c>
      <c r="AI7" s="278" t="s">
        <v>680</v>
      </c>
    </row>
    <row r="8" spans="1:35" s="40" customFormat="1" x14ac:dyDescent="0.25">
      <c r="A8" s="266"/>
      <c r="B8" s="278"/>
      <c r="C8" s="3" t="str">
        <f>"Dec-"&amp;YEAR('A1 (FF1 Inputs)'!$E$12)-1</f>
        <v>Dec-2019</v>
      </c>
      <c r="D8" s="3" t="str">
        <f>"Jan-"&amp;YEAR('A1 (FF1 Inputs)'!$E$12)</f>
        <v>Jan-2020</v>
      </c>
      <c r="E8" s="3" t="str">
        <f>"Feb-"&amp;YEAR('A1 (FF1 Inputs)'!$E$12)</f>
        <v>Feb-2020</v>
      </c>
      <c r="F8" s="3" t="str">
        <f>"Mar-"&amp;YEAR('A1 (FF1 Inputs)'!$E$12)</f>
        <v>Mar-2020</v>
      </c>
      <c r="G8" s="3" t="str">
        <f>"Apr-"&amp;YEAR('A1 (FF1 Inputs)'!$E$12)</f>
        <v>Apr-2020</v>
      </c>
      <c r="H8" s="3" t="str">
        <f>"May-"&amp;YEAR('A1 (FF1 Inputs)'!$E$12)</f>
        <v>May-2020</v>
      </c>
      <c r="I8" s="3" t="str">
        <f>"Jun-"&amp;YEAR('A1 (FF1 Inputs)'!$E$12)</f>
        <v>Jun-2020</v>
      </c>
      <c r="J8" s="3" t="str">
        <f>"Jul-"&amp;YEAR('A1 (FF1 Inputs)'!$E$12)</f>
        <v>Jul-2020</v>
      </c>
      <c r="K8" s="3" t="str">
        <f>"Aug-"&amp;YEAR('A1 (FF1 Inputs)'!$E$12)</f>
        <v>Aug-2020</v>
      </c>
      <c r="L8" s="3" t="str">
        <f>"Sep-"&amp;YEAR('A1 (FF1 Inputs)'!$E$12)</f>
        <v>Sep-2020</v>
      </c>
      <c r="M8" s="3" t="str">
        <f>"Oct-"&amp;YEAR('A1 (FF1 Inputs)'!$E$12)</f>
        <v>Oct-2020</v>
      </c>
      <c r="N8" s="3" t="str">
        <f>"Nov-"&amp;YEAR('A1 (FF1 Inputs)'!$E$12)</f>
        <v>Nov-2020</v>
      </c>
      <c r="O8" s="3" t="str">
        <f>"Dec-"&amp;YEAR('A1 (FF1 Inputs)'!$E$12)</f>
        <v>Dec-2020</v>
      </c>
      <c r="P8" s="3" t="s">
        <v>5</v>
      </c>
      <c r="Q8" s="3" t="s">
        <v>6</v>
      </c>
      <c r="R8" s="3" t="str">
        <f>"Dec-"&amp;YEAR('A1 (FF1 Inputs)'!$E$12)-1</f>
        <v>Dec-2019</v>
      </c>
      <c r="S8" s="3" t="str">
        <f>"Jan-"&amp;YEAR('A1 (FF1 Inputs)'!$E$12)</f>
        <v>Jan-2020</v>
      </c>
      <c r="T8" s="3" t="str">
        <f>"Feb-"&amp;YEAR('A1 (FF1 Inputs)'!$E$12)</f>
        <v>Feb-2020</v>
      </c>
      <c r="U8" s="3" t="str">
        <f>"Mar-"&amp;YEAR('A1 (FF1 Inputs)'!$E$12)</f>
        <v>Mar-2020</v>
      </c>
      <c r="V8" s="3" t="str">
        <f>"Apr-"&amp;YEAR('A1 (FF1 Inputs)'!$E$12)</f>
        <v>Apr-2020</v>
      </c>
      <c r="W8" s="3" t="str">
        <f>"May-"&amp;YEAR('A1 (FF1 Inputs)'!$E$12)</f>
        <v>May-2020</v>
      </c>
      <c r="X8" s="3" t="str">
        <f>"Jun-"&amp;YEAR('A1 (FF1 Inputs)'!$E$12)</f>
        <v>Jun-2020</v>
      </c>
      <c r="Y8" s="3" t="str">
        <f>"Jul-"&amp;YEAR('A1 (FF1 Inputs)'!$E$12)</f>
        <v>Jul-2020</v>
      </c>
      <c r="Z8" s="3" t="str">
        <f>"Aug-"&amp;YEAR('A1 (FF1 Inputs)'!$E$12)</f>
        <v>Aug-2020</v>
      </c>
      <c r="AA8" s="3" t="str">
        <f>"Sep-"&amp;YEAR('A1 (FF1 Inputs)'!$E$12)</f>
        <v>Sep-2020</v>
      </c>
      <c r="AB8" s="3" t="str">
        <f>"Oct-"&amp;YEAR('A1 (FF1 Inputs)'!$E$12)</f>
        <v>Oct-2020</v>
      </c>
      <c r="AC8" s="3" t="str">
        <f>"Nov-"&amp;YEAR('A1 (FF1 Inputs)'!$E$12)</f>
        <v>Nov-2020</v>
      </c>
      <c r="AD8" s="3" t="str">
        <f>"Dec-"&amp;YEAR('A1 (FF1 Inputs)'!$E$12)</f>
        <v>Dec-2020</v>
      </c>
      <c r="AE8" s="277"/>
      <c r="AF8" s="280"/>
      <c r="AG8" s="277"/>
      <c r="AH8" s="277"/>
      <c r="AI8" s="278"/>
    </row>
    <row r="9" spans="1:35" s="1" customFormat="1"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1" t="s">
        <v>395</v>
      </c>
      <c r="P9" s="2" t="s">
        <v>396</v>
      </c>
      <c r="Q9" s="2" t="s">
        <v>397</v>
      </c>
      <c r="R9" s="2" t="str">
        <f>"[q] = "&amp;C9&amp;" x "&amp;$Q$9</f>
        <v>[q] = [b] x [p]</v>
      </c>
      <c r="S9" s="2" t="str">
        <f>"[r] = "&amp;D9&amp;" x "&amp;$Q$9</f>
        <v>[r] = [c] x [p]</v>
      </c>
      <c r="T9" s="2" t="str">
        <f>"[s] = "&amp;E9&amp;" x "&amp;$Q$9</f>
        <v>[s] = [d] x [p]</v>
      </c>
      <c r="U9" s="2" t="str">
        <f>"[t] = "&amp;F9&amp;" x "&amp;$Q$9</f>
        <v>[t] = [e] x [p]</v>
      </c>
      <c r="V9" s="2" t="str">
        <f>"[u] = "&amp;G9&amp;" x "&amp;$Q$9</f>
        <v>[u] = [f] x [p]</v>
      </c>
      <c r="W9" s="2" t="str">
        <f>"[v] = "&amp;H9&amp;" x "&amp;$Q$9</f>
        <v>[v] = [g] x [p]</v>
      </c>
      <c r="X9" s="2" t="str">
        <f>"[w] = "&amp;I9&amp;" x "&amp;$Q$9</f>
        <v>[w] = [h] x [p]</v>
      </c>
      <c r="Y9" s="2" t="str">
        <f>"[x] = "&amp;J9&amp;" x "&amp;$Q$9</f>
        <v>[x] = [i] x [p]</v>
      </c>
      <c r="Z9" s="2" t="str">
        <f>"[y] = "&amp;K9&amp;" x "&amp;$Q$9</f>
        <v>[y] = [j] x [p]</v>
      </c>
      <c r="AA9" s="2" t="str">
        <f>"[z] = "&amp;L9&amp;" x "&amp;$Q$9</f>
        <v>[z] = [k] x [p]</v>
      </c>
      <c r="AB9" s="2" t="str">
        <f>"[aa] = "&amp;M9&amp;" x "&amp;$Q$9</f>
        <v>[aa] = [l] x [p]</v>
      </c>
      <c r="AC9" s="2" t="str">
        <f>"[bb] = "&amp;N9&amp;" x "&amp;$Q$9</f>
        <v>[bb] = [m] x [p]</v>
      </c>
      <c r="AD9" s="2" t="str">
        <f>"[cc] = "&amp;O9&amp;" x "&amp;$Q$9</f>
        <v>[cc] = [n] x [p]</v>
      </c>
      <c r="AE9" s="2" t="s">
        <v>805</v>
      </c>
      <c r="AF9" s="2" t="s">
        <v>637</v>
      </c>
      <c r="AG9" s="2" t="s">
        <v>638</v>
      </c>
      <c r="AH9" s="2" t="s">
        <v>639</v>
      </c>
      <c r="AI9" s="1" t="s">
        <v>640</v>
      </c>
    </row>
    <row r="10" spans="1:35"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row>
    <row r="11" spans="1:35" ht="5.25" customHeight="1" x14ac:dyDescent="0.25">
      <c r="A11"/>
    </row>
    <row r="12" spans="1:35" x14ac:dyDescent="0.25">
      <c r="A12" s="89" t="s">
        <v>893</v>
      </c>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row>
    <row r="13" spans="1:35" x14ac:dyDescent="0.25">
      <c r="A13" s="31" t="s">
        <v>411</v>
      </c>
      <c r="B13" s="46" t="s">
        <v>524</v>
      </c>
      <c r="C13" s="37">
        <v>-6454138</v>
      </c>
      <c r="D13" s="37">
        <f>((($O13-$C13)/13)+C13)</f>
        <v>-6438642.615384615</v>
      </c>
      <c r="E13" s="37">
        <f t="shared" ref="E13:N13" si="0">((($O13-$C13)/13)+D13)</f>
        <v>-6423147.2307692301</v>
      </c>
      <c r="F13" s="37">
        <f t="shared" si="0"/>
        <v>-6407651.8461538451</v>
      </c>
      <c r="G13" s="37">
        <f t="shared" si="0"/>
        <v>-6392156.4615384601</v>
      </c>
      <c r="H13" s="37">
        <f t="shared" si="0"/>
        <v>-6376661.0769230751</v>
      </c>
      <c r="I13" s="37">
        <f t="shared" si="0"/>
        <v>-6361165.6923076902</v>
      </c>
      <c r="J13" s="37">
        <f t="shared" si="0"/>
        <v>-6345670.3076923052</v>
      </c>
      <c r="K13" s="37">
        <f t="shared" si="0"/>
        <v>-6330174.9230769202</v>
      </c>
      <c r="L13" s="37">
        <f t="shared" si="0"/>
        <v>-6314679.5384615352</v>
      </c>
      <c r="M13" s="37">
        <f t="shared" si="0"/>
        <v>-6299184.1538461503</v>
      </c>
      <c r="N13" s="37">
        <f t="shared" si="0"/>
        <v>-6283688.7692307653</v>
      </c>
      <c r="O13" s="37">
        <v>-6252698</v>
      </c>
      <c r="P13" s="114" t="s">
        <v>333</v>
      </c>
      <c r="Q13" s="118">
        <f>IFERROR(VLOOKUP(P13,'A22 (Allocation Factors)'!$D:$F,3,0),0)</f>
        <v>0.12132411580047649</v>
      </c>
      <c r="R13" s="41">
        <f t="shared" ref="R13" si="1">C13*$Q13</f>
        <v>-783042.58610425575</v>
      </c>
      <c r="S13" s="41">
        <f t="shared" ref="S13" si="2">D13*$Q13</f>
        <v>-781162.62226680585</v>
      </c>
      <c r="T13" s="41">
        <f t="shared" ref="T13" si="3">E13*$Q13</f>
        <v>-779282.65842935594</v>
      </c>
      <c r="U13" s="41">
        <f t="shared" ref="U13" si="4">F13*$Q13</f>
        <v>-777402.69459190604</v>
      </c>
      <c r="V13" s="41">
        <f t="shared" ref="V13" si="5">G13*$Q13</f>
        <v>-775522.73075445613</v>
      </c>
      <c r="W13" s="41">
        <f t="shared" ref="W13" si="6">H13*$Q13</f>
        <v>-773642.76691700623</v>
      </c>
      <c r="X13" s="41">
        <f t="shared" ref="X13" si="7">I13*$Q13</f>
        <v>-771762.80307955632</v>
      </c>
      <c r="Y13" s="41">
        <f t="shared" ref="Y13" si="8">J13*$Q13</f>
        <v>-769882.83924210654</v>
      </c>
      <c r="Z13" s="41">
        <f t="shared" ref="Z13" si="9">K13*$Q13</f>
        <v>-768002.87540465663</v>
      </c>
      <c r="AA13" s="41">
        <f t="shared" ref="AA13" si="10">L13*$Q13</f>
        <v>-766122.91156720673</v>
      </c>
      <c r="AB13" s="41">
        <f t="shared" ref="AB13" si="11">M13*$Q13</f>
        <v>-764242.94772975682</v>
      </c>
      <c r="AC13" s="41">
        <f t="shared" ref="AC13" si="12">N13*$Q13</f>
        <v>-762362.98389230692</v>
      </c>
      <c r="AD13" s="41">
        <f t="shared" ref="AD13" si="13">O13*$Q13</f>
        <v>-758603.05621740769</v>
      </c>
      <c r="AE13" s="41">
        <f t="shared" ref="AE13" si="14">AD13-R13</f>
        <v>24439.52988684806</v>
      </c>
      <c r="AF13" s="31" t="s">
        <v>785</v>
      </c>
      <c r="AG13" s="31" t="s">
        <v>887</v>
      </c>
      <c r="AH13" s="46" t="s">
        <v>521</v>
      </c>
      <c r="AI13" s="46" t="s">
        <v>897</v>
      </c>
    </row>
    <row r="14" spans="1:35" x14ac:dyDescent="0.25">
      <c r="A14" s="31" t="s">
        <v>412</v>
      </c>
      <c r="B14" s="46" t="s">
        <v>1044</v>
      </c>
      <c r="C14" s="37">
        <v>-242611375</v>
      </c>
      <c r="D14" s="37">
        <v>-242611375</v>
      </c>
      <c r="E14" s="37">
        <v>-242611375</v>
      </c>
      <c r="F14" s="37">
        <v>-242611375</v>
      </c>
      <c r="G14" s="37">
        <v>-242611375</v>
      </c>
      <c r="H14" s="37">
        <v>-242611375</v>
      </c>
      <c r="I14" s="37">
        <v>-242611375</v>
      </c>
      <c r="J14" s="37">
        <v>-242611375</v>
      </c>
      <c r="K14" s="37">
        <v>-242611375</v>
      </c>
      <c r="L14" s="37">
        <v>-242611375</v>
      </c>
      <c r="M14" s="37">
        <v>-242611375</v>
      </c>
      <c r="N14" s="37">
        <v>-242611375</v>
      </c>
      <c r="O14" s="37">
        <v>-242611375</v>
      </c>
      <c r="P14" s="115" t="s">
        <v>333</v>
      </c>
      <c r="Q14" s="119">
        <f>IFERROR(VLOOKUP(P14,'A22 (Allocation Factors)'!$D:$F,3,0),0)</f>
        <v>0.12132411580047649</v>
      </c>
      <c r="R14" s="41">
        <f t="shared" ref="R14" si="15">C14*$Q14</f>
        <v>-29434610.555012826</v>
      </c>
      <c r="S14" s="41">
        <f t="shared" ref="S14" si="16">D14*$Q14</f>
        <v>-29434610.555012826</v>
      </c>
      <c r="T14" s="41">
        <f t="shared" ref="T14" si="17">E14*$Q14</f>
        <v>-29434610.555012826</v>
      </c>
      <c r="U14" s="41">
        <f t="shared" ref="U14" si="18">F14*$Q14</f>
        <v>-29434610.555012826</v>
      </c>
      <c r="V14" s="41">
        <f t="shared" ref="V14" si="19">G14*$Q14</f>
        <v>-29434610.555012826</v>
      </c>
      <c r="W14" s="41">
        <f t="shared" ref="W14" si="20">H14*$Q14</f>
        <v>-29434610.555012826</v>
      </c>
      <c r="X14" s="41">
        <f t="shared" ref="X14" si="21">I14*$Q14</f>
        <v>-29434610.555012826</v>
      </c>
      <c r="Y14" s="41">
        <f t="shared" ref="Y14" si="22">J14*$Q14</f>
        <v>-29434610.555012826</v>
      </c>
      <c r="Z14" s="41">
        <f t="shared" ref="Z14" si="23">K14*$Q14</f>
        <v>-29434610.555012826</v>
      </c>
      <c r="AA14" s="41">
        <f t="shared" ref="AA14" si="24">L14*$Q14</f>
        <v>-29434610.555012826</v>
      </c>
      <c r="AB14" s="41">
        <f t="shared" ref="AB14" si="25">M14*$Q14</f>
        <v>-29434610.555012826</v>
      </c>
      <c r="AC14" s="41">
        <f t="shared" ref="AC14" si="26">N14*$Q14</f>
        <v>-29434610.555012826</v>
      </c>
      <c r="AD14" s="41">
        <f t="shared" ref="AD14" si="27">O14*$Q14</f>
        <v>-29434610.555012826</v>
      </c>
      <c r="AE14" s="41">
        <f t="shared" ref="AE14" si="28">AD14-R14</f>
        <v>0</v>
      </c>
      <c r="AF14" s="31" t="s">
        <v>785</v>
      </c>
      <c r="AG14" s="31" t="s">
        <v>887</v>
      </c>
      <c r="AH14" s="46" t="s">
        <v>842</v>
      </c>
      <c r="AI14" s="46" t="s">
        <v>897</v>
      </c>
    </row>
    <row r="15" spans="1:35" x14ac:dyDescent="0.25">
      <c r="A15" s="31" t="s">
        <v>413</v>
      </c>
      <c r="B15" s="46" t="s">
        <v>522</v>
      </c>
      <c r="C15" s="37">
        <v>-2104267</v>
      </c>
      <c r="D15" s="37">
        <f>((($O15-$C15)/13)+C15)</f>
        <v>-2104267</v>
      </c>
      <c r="E15" s="37">
        <f t="shared" ref="E15:N15" si="29">((($O15-$C15)/13)+D15)</f>
        <v>-2104267</v>
      </c>
      <c r="F15" s="37">
        <f t="shared" si="29"/>
        <v>-2104267</v>
      </c>
      <c r="G15" s="37">
        <f t="shared" si="29"/>
        <v>-2104267</v>
      </c>
      <c r="H15" s="37">
        <f t="shared" si="29"/>
        <v>-2104267</v>
      </c>
      <c r="I15" s="37">
        <f t="shared" si="29"/>
        <v>-2104267</v>
      </c>
      <c r="J15" s="37">
        <f t="shared" si="29"/>
        <v>-2104267</v>
      </c>
      <c r="K15" s="37">
        <f t="shared" si="29"/>
        <v>-2104267</v>
      </c>
      <c r="L15" s="37">
        <f t="shared" si="29"/>
        <v>-2104267</v>
      </c>
      <c r="M15" s="37">
        <f t="shared" si="29"/>
        <v>-2104267</v>
      </c>
      <c r="N15" s="37">
        <f t="shared" si="29"/>
        <v>-2104267</v>
      </c>
      <c r="O15" s="37">
        <v>-2104267</v>
      </c>
      <c r="P15" s="115" t="s">
        <v>333</v>
      </c>
      <c r="Q15" s="119">
        <f>IFERROR(VLOOKUP(P15,'A22 (Allocation Factors)'!$D:$F,3,0),0)</f>
        <v>0.12132411580047649</v>
      </c>
      <c r="R15" s="41">
        <f t="shared" ref="R15:AD20" si="30">C15*$Q15</f>
        <v>-255298.33318312126</v>
      </c>
      <c r="S15" s="41">
        <f t="shared" ref="S15:AD18" si="31">D15*$Q15</f>
        <v>-255298.33318312126</v>
      </c>
      <c r="T15" s="41">
        <f t="shared" si="31"/>
        <v>-255298.33318312126</v>
      </c>
      <c r="U15" s="41">
        <f t="shared" si="31"/>
        <v>-255298.33318312126</v>
      </c>
      <c r="V15" s="41">
        <f t="shared" si="31"/>
        <v>-255298.33318312126</v>
      </c>
      <c r="W15" s="41">
        <f t="shared" si="31"/>
        <v>-255298.33318312126</v>
      </c>
      <c r="X15" s="41">
        <f t="shared" si="31"/>
        <v>-255298.33318312126</v>
      </c>
      <c r="Y15" s="41">
        <f t="shared" si="31"/>
        <v>-255298.33318312126</v>
      </c>
      <c r="Z15" s="41">
        <f t="shared" si="31"/>
        <v>-255298.33318312126</v>
      </c>
      <c r="AA15" s="41">
        <f t="shared" si="31"/>
        <v>-255298.33318312126</v>
      </c>
      <c r="AB15" s="41">
        <f t="shared" si="31"/>
        <v>-255298.33318312126</v>
      </c>
      <c r="AC15" s="41">
        <f t="shared" si="31"/>
        <v>-255298.33318312126</v>
      </c>
      <c r="AD15" s="41">
        <f t="shared" si="31"/>
        <v>-255298.33318312126</v>
      </c>
      <c r="AE15" s="41">
        <f t="shared" ref="AE15:AE20" si="32">AD15-R15</f>
        <v>0</v>
      </c>
      <c r="AF15" s="31" t="s">
        <v>785</v>
      </c>
      <c r="AG15" s="31" t="s">
        <v>886</v>
      </c>
      <c r="AH15" s="46" t="s">
        <v>842</v>
      </c>
      <c r="AI15" s="46" t="s">
        <v>897</v>
      </c>
    </row>
    <row r="16" spans="1:35" x14ac:dyDescent="0.25">
      <c r="A16" s="31" t="s">
        <v>456</v>
      </c>
      <c r="B16" s="46" t="s">
        <v>523</v>
      </c>
      <c r="C16" s="37">
        <v>-1367963</v>
      </c>
      <c r="D16" s="37">
        <f>((($O16-$C16)/13)+C16)</f>
        <v>-1367963</v>
      </c>
      <c r="E16" s="37">
        <f t="shared" ref="E16:N18" si="33">((($O16-$C16)/13)+D16)</f>
        <v>-1367963</v>
      </c>
      <c r="F16" s="37">
        <f t="shared" si="33"/>
        <v>-1367963</v>
      </c>
      <c r="G16" s="37">
        <f t="shared" si="33"/>
        <v>-1367963</v>
      </c>
      <c r="H16" s="37">
        <f t="shared" si="33"/>
        <v>-1367963</v>
      </c>
      <c r="I16" s="37">
        <f t="shared" si="33"/>
        <v>-1367963</v>
      </c>
      <c r="J16" s="37">
        <f t="shared" si="33"/>
        <v>-1367963</v>
      </c>
      <c r="K16" s="37">
        <f t="shared" si="33"/>
        <v>-1367963</v>
      </c>
      <c r="L16" s="37">
        <f t="shared" si="33"/>
        <v>-1367963</v>
      </c>
      <c r="M16" s="37">
        <f t="shared" si="33"/>
        <v>-1367963</v>
      </c>
      <c r="N16" s="37">
        <f t="shared" si="33"/>
        <v>-1367963</v>
      </c>
      <c r="O16" s="37">
        <v>-1367963</v>
      </c>
      <c r="P16" s="115" t="s">
        <v>333</v>
      </c>
      <c r="Q16" s="119">
        <f>IFERROR(VLOOKUP(P16,'A22 (Allocation Factors)'!$D:$F,3,0),0)</f>
        <v>0.12132411580047649</v>
      </c>
      <c r="R16" s="41">
        <f t="shared" si="30"/>
        <v>-165966.90142276723</v>
      </c>
      <c r="S16" s="41">
        <f t="shared" si="31"/>
        <v>-165966.90142276723</v>
      </c>
      <c r="T16" s="41">
        <f t="shared" si="31"/>
        <v>-165966.90142276723</v>
      </c>
      <c r="U16" s="41">
        <f t="shared" si="31"/>
        <v>-165966.90142276723</v>
      </c>
      <c r="V16" s="41">
        <f t="shared" si="31"/>
        <v>-165966.90142276723</v>
      </c>
      <c r="W16" s="41">
        <f t="shared" si="31"/>
        <v>-165966.90142276723</v>
      </c>
      <c r="X16" s="41">
        <f t="shared" si="31"/>
        <v>-165966.90142276723</v>
      </c>
      <c r="Y16" s="41">
        <f t="shared" si="31"/>
        <v>-165966.90142276723</v>
      </c>
      <c r="Z16" s="41">
        <f t="shared" si="31"/>
        <v>-165966.90142276723</v>
      </c>
      <c r="AA16" s="41">
        <f t="shared" si="31"/>
        <v>-165966.90142276723</v>
      </c>
      <c r="AB16" s="41">
        <f t="shared" si="31"/>
        <v>-165966.90142276723</v>
      </c>
      <c r="AC16" s="41">
        <f t="shared" si="31"/>
        <v>-165966.90142276723</v>
      </c>
      <c r="AD16" s="41">
        <f t="shared" si="31"/>
        <v>-165966.90142276723</v>
      </c>
      <c r="AE16" s="41">
        <f t="shared" si="32"/>
        <v>0</v>
      </c>
      <c r="AF16" s="31" t="s">
        <v>785</v>
      </c>
      <c r="AG16" s="31" t="s">
        <v>886</v>
      </c>
      <c r="AH16" s="46" t="s">
        <v>842</v>
      </c>
      <c r="AI16" s="46" t="s">
        <v>897</v>
      </c>
    </row>
    <row r="17" spans="1:35" x14ac:dyDescent="0.25">
      <c r="A17" s="31" t="s">
        <v>457</v>
      </c>
      <c r="B17" s="46"/>
      <c r="C17" s="37">
        <v>0</v>
      </c>
      <c r="D17" s="37">
        <v>0</v>
      </c>
      <c r="E17" s="37">
        <v>0</v>
      </c>
      <c r="F17" s="37">
        <v>0</v>
      </c>
      <c r="G17" s="37">
        <v>0</v>
      </c>
      <c r="H17" s="37">
        <v>0</v>
      </c>
      <c r="I17" s="37">
        <v>0</v>
      </c>
      <c r="J17" s="37">
        <v>0</v>
      </c>
      <c r="K17" s="37">
        <v>0</v>
      </c>
      <c r="L17" s="37">
        <v>0</v>
      </c>
      <c r="M17" s="37">
        <v>0</v>
      </c>
      <c r="N17" s="37">
        <v>0</v>
      </c>
      <c r="O17" s="37">
        <v>0</v>
      </c>
      <c r="P17" s="115" t="s">
        <v>29</v>
      </c>
      <c r="Q17" s="119">
        <f>IFERROR(VLOOKUP(P17,'A22 (Allocation Factors)'!$D:$F,3,0),0)</f>
        <v>0</v>
      </c>
      <c r="R17" s="219">
        <f t="shared" si="30"/>
        <v>0</v>
      </c>
      <c r="S17" s="219">
        <f t="shared" si="31"/>
        <v>0</v>
      </c>
      <c r="T17" s="219">
        <f t="shared" si="31"/>
        <v>0</v>
      </c>
      <c r="U17" s="219">
        <f t="shared" si="31"/>
        <v>0</v>
      </c>
      <c r="V17" s="219">
        <f t="shared" si="31"/>
        <v>0</v>
      </c>
      <c r="W17" s="219">
        <f t="shared" si="31"/>
        <v>0</v>
      </c>
      <c r="X17" s="219">
        <f t="shared" si="31"/>
        <v>0</v>
      </c>
      <c r="Y17" s="219">
        <f t="shared" si="31"/>
        <v>0</v>
      </c>
      <c r="Z17" s="219">
        <f t="shared" si="31"/>
        <v>0</v>
      </c>
      <c r="AA17" s="219">
        <f t="shared" si="31"/>
        <v>0</v>
      </c>
      <c r="AB17" s="219">
        <f t="shared" si="31"/>
        <v>0</v>
      </c>
      <c r="AC17" s="219">
        <f t="shared" si="31"/>
        <v>0</v>
      </c>
      <c r="AD17" s="219">
        <f t="shared" si="31"/>
        <v>0</v>
      </c>
      <c r="AE17" s="219">
        <f t="shared" si="32"/>
        <v>0</v>
      </c>
      <c r="AF17" s="31" t="s">
        <v>357</v>
      </c>
      <c r="AG17" s="31"/>
      <c r="AH17" s="46" t="s">
        <v>357</v>
      </c>
      <c r="AI17" s="46" t="s">
        <v>357</v>
      </c>
    </row>
    <row r="18" spans="1:35" x14ac:dyDescent="0.25">
      <c r="A18" s="31" t="s">
        <v>458</v>
      </c>
      <c r="B18" s="46" t="s">
        <v>524</v>
      </c>
      <c r="C18" s="37">
        <v>-5009269</v>
      </c>
      <c r="D18" s="37">
        <f>((($O18-$C18)/13)+C18)</f>
        <v>-4997242.538461538</v>
      </c>
      <c r="E18" s="37">
        <f t="shared" si="33"/>
        <v>-4985216.0769230761</v>
      </c>
      <c r="F18" s="37">
        <f t="shared" si="33"/>
        <v>-4973189.6153846141</v>
      </c>
      <c r="G18" s="37">
        <f t="shared" si="33"/>
        <v>-4961163.1538461521</v>
      </c>
      <c r="H18" s="37">
        <f t="shared" si="33"/>
        <v>-4949136.6923076902</v>
      </c>
      <c r="I18" s="37">
        <f t="shared" si="33"/>
        <v>-4937110.2307692282</v>
      </c>
      <c r="J18" s="37">
        <f t="shared" si="33"/>
        <v>-4925083.7692307662</v>
      </c>
      <c r="K18" s="37">
        <f t="shared" si="33"/>
        <v>-4913057.3076923043</v>
      </c>
      <c r="L18" s="37">
        <f t="shared" si="33"/>
        <v>-4901030.8461538423</v>
      </c>
      <c r="M18" s="37">
        <f t="shared" si="33"/>
        <v>-4889004.3846153803</v>
      </c>
      <c r="N18" s="37">
        <f t="shared" si="33"/>
        <v>-4876977.9230769183</v>
      </c>
      <c r="O18" s="37">
        <v>-4852925</v>
      </c>
      <c r="P18" s="115" t="s">
        <v>333</v>
      </c>
      <c r="Q18" s="119">
        <f>IFERROR(VLOOKUP(P18,'A22 (Allocation Factors)'!$D:$F,3,0),0)</f>
        <v>0.12132411580047649</v>
      </c>
      <c r="R18" s="219">
        <f t="shared" si="30"/>
        <v>-607745.13223173702</v>
      </c>
      <c r="S18" s="219">
        <f t="shared" si="31"/>
        <v>-606286.03241937468</v>
      </c>
      <c r="T18" s="219">
        <f t="shared" si="31"/>
        <v>-604826.93260701234</v>
      </c>
      <c r="U18" s="219">
        <f t="shared" si="31"/>
        <v>-603367.83279464999</v>
      </c>
      <c r="V18" s="219">
        <f t="shared" si="31"/>
        <v>-601908.73298228765</v>
      </c>
      <c r="W18" s="219">
        <f t="shared" si="31"/>
        <v>-600449.63316992542</v>
      </c>
      <c r="X18" s="219">
        <f t="shared" si="31"/>
        <v>-598990.53335756308</v>
      </c>
      <c r="Y18" s="219">
        <f t="shared" si="31"/>
        <v>-597531.43354520074</v>
      </c>
      <c r="Z18" s="219">
        <f t="shared" si="31"/>
        <v>-596072.33373283839</v>
      </c>
      <c r="AA18" s="219">
        <f t="shared" si="31"/>
        <v>-594613.23392047605</v>
      </c>
      <c r="AB18" s="219">
        <f t="shared" si="31"/>
        <v>-593154.13410811371</v>
      </c>
      <c r="AC18" s="219">
        <f t="shared" si="31"/>
        <v>-591695.03429575136</v>
      </c>
      <c r="AD18" s="219">
        <f t="shared" si="31"/>
        <v>-588776.83467102738</v>
      </c>
      <c r="AE18" s="219">
        <f t="shared" si="32"/>
        <v>18968.297560709645</v>
      </c>
      <c r="AF18" s="31" t="s">
        <v>785</v>
      </c>
      <c r="AG18" s="31" t="s">
        <v>886</v>
      </c>
      <c r="AH18" s="46" t="s">
        <v>520</v>
      </c>
      <c r="AI18" s="46" t="s">
        <v>897</v>
      </c>
    </row>
    <row r="19" spans="1:35" x14ac:dyDescent="0.25">
      <c r="A19" s="31" t="s">
        <v>357</v>
      </c>
      <c r="B19" s="46" t="s">
        <v>357</v>
      </c>
      <c r="C19" s="37">
        <v>0</v>
      </c>
      <c r="D19" s="37">
        <v>0</v>
      </c>
      <c r="E19" s="37">
        <v>0</v>
      </c>
      <c r="F19" s="37">
        <v>0</v>
      </c>
      <c r="G19" s="37">
        <v>0</v>
      </c>
      <c r="H19" s="37">
        <v>0</v>
      </c>
      <c r="I19" s="37">
        <v>0</v>
      </c>
      <c r="J19" s="37">
        <v>0</v>
      </c>
      <c r="K19" s="37">
        <v>0</v>
      </c>
      <c r="L19" s="37">
        <v>0</v>
      </c>
      <c r="M19" s="37">
        <v>0</v>
      </c>
      <c r="N19" s="37">
        <v>0</v>
      </c>
      <c r="O19" s="37">
        <v>0</v>
      </c>
      <c r="P19" s="115" t="s">
        <v>357</v>
      </c>
      <c r="Q19" s="119">
        <f>IFERROR(VLOOKUP(P19,'A22 (Allocation Factors)'!$D:$F,3,0),0)</f>
        <v>0</v>
      </c>
      <c r="R19" s="41">
        <f t="shared" si="30"/>
        <v>0</v>
      </c>
      <c r="S19" s="41">
        <f t="shared" si="30"/>
        <v>0</v>
      </c>
      <c r="T19" s="41">
        <f t="shared" si="30"/>
        <v>0</v>
      </c>
      <c r="U19" s="41">
        <f t="shared" si="30"/>
        <v>0</v>
      </c>
      <c r="V19" s="41">
        <f t="shared" si="30"/>
        <v>0</v>
      </c>
      <c r="W19" s="41">
        <f t="shared" si="30"/>
        <v>0</v>
      </c>
      <c r="X19" s="41">
        <f t="shared" si="30"/>
        <v>0</v>
      </c>
      <c r="Y19" s="41">
        <f t="shared" si="30"/>
        <v>0</v>
      </c>
      <c r="Z19" s="41">
        <f t="shared" si="30"/>
        <v>0</v>
      </c>
      <c r="AA19" s="41">
        <f t="shared" si="30"/>
        <v>0</v>
      </c>
      <c r="AB19" s="41">
        <f t="shared" si="30"/>
        <v>0</v>
      </c>
      <c r="AC19" s="41">
        <f t="shared" si="30"/>
        <v>0</v>
      </c>
      <c r="AD19" s="41">
        <f t="shared" si="30"/>
        <v>0</v>
      </c>
      <c r="AE19" s="41">
        <f t="shared" si="32"/>
        <v>0</v>
      </c>
      <c r="AF19" s="31" t="s">
        <v>357</v>
      </c>
      <c r="AG19" s="31"/>
      <c r="AH19" s="46" t="s">
        <v>357</v>
      </c>
      <c r="AI19" s="46" t="s">
        <v>357</v>
      </c>
    </row>
    <row r="20" spans="1:35" x14ac:dyDescent="0.25">
      <c r="A20" s="100" t="s">
        <v>478</v>
      </c>
      <c r="B20" s="48" t="s">
        <v>357</v>
      </c>
      <c r="C20" s="20">
        <v>0</v>
      </c>
      <c r="D20" s="37">
        <v>0</v>
      </c>
      <c r="E20" s="37">
        <v>0</v>
      </c>
      <c r="F20" s="37">
        <v>0</v>
      </c>
      <c r="G20" s="37">
        <v>0</v>
      </c>
      <c r="H20" s="37">
        <v>0</v>
      </c>
      <c r="I20" s="37">
        <v>0</v>
      </c>
      <c r="J20" s="37">
        <v>0</v>
      </c>
      <c r="K20" s="37">
        <v>0</v>
      </c>
      <c r="L20" s="37">
        <v>0</v>
      </c>
      <c r="M20" s="37">
        <v>0</v>
      </c>
      <c r="N20" s="37">
        <v>0</v>
      </c>
      <c r="O20" s="20">
        <v>0</v>
      </c>
      <c r="P20" s="116" t="s">
        <v>357</v>
      </c>
      <c r="Q20" s="120">
        <f>IFERROR(VLOOKUP(P20,'A22 (Allocation Factors)'!$D:$F,3,0),0)</f>
        <v>0</v>
      </c>
      <c r="R20" s="41">
        <f t="shared" si="30"/>
        <v>0</v>
      </c>
      <c r="S20" s="41">
        <f t="shared" si="30"/>
        <v>0</v>
      </c>
      <c r="T20" s="41">
        <f t="shared" si="30"/>
        <v>0</v>
      </c>
      <c r="U20" s="41">
        <f t="shared" si="30"/>
        <v>0</v>
      </c>
      <c r="V20" s="41">
        <f t="shared" si="30"/>
        <v>0</v>
      </c>
      <c r="W20" s="41">
        <f t="shared" si="30"/>
        <v>0</v>
      </c>
      <c r="X20" s="41">
        <f t="shared" si="30"/>
        <v>0</v>
      </c>
      <c r="Y20" s="41">
        <f t="shared" si="30"/>
        <v>0</v>
      </c>
      <c r="Z20" s="41">
        <f t="shared" si="30"/>
        <v>0</v>
      </c>
      <c r="AA20" s="41">
        <f t="shared" si="30"/>
        <v>0</v>
      </c>
      <c r="AB20" s="41">
        <f t="shared" si="30"/>
        <v>0</v>
      </c>
      <c r="AC20" s="41">
        <f t="shared" si="30"/>
        <v>0</v>
      </c>
      <c r="AD20" s="41">
        <f t="shared" si="30"/>
        <v>0</v>
      </c>
      <c r="AE20" s="41">
        <f t="shared" si="32"/>
        <v>0</v>
      </c>
      <c r="AF20" s="31" t="s">
        <v>357</v>
      </c>
      <c r="AG20" s="31"/>
      <c r="AH20" s="53" t="s">
        <v>357</v>
      </c>
      <c r="AI20" s="53" t="s">
        <v>357</v>
      </c>
    </row>
    <row r="21" spans="1:35" s="6" customFormat="1" x14ac:dyDescent="0.25">
      <c r="A21" s="88">
        <v>2</v>
      </c>
      <c r="B21" s="89" t="str">
        <f>"Total Excess Deferred Income Taxes Acct No. 254 (Sum Lns. "&amp;A13&amp;" through "&amp;A20&amp;")"</f>
        <v>Total Excess Deferred Income Taxes Acct No. 254 (Sum Lns. 1a through 1zz)</v>
      </c>
      <c r="C21" s="90">
        <f t="shared" ref="C21:O21" si="34">SUM(C13:C20)</f>
        <v>-257547012</v>
      </c>
      <c r="D21" s="90">
        <f t="shared" si="34"/>
        <v>-257519490.15384614</v>
      </c>
      <c r="E21" s="90">
        <f t="shared" si="34"/>
        <v>-257491968.30769229</v>
      </c>
      <c r="F21" s="90">
        <f t="shared" si="34"/>
        <v>-257464446.46153846</v>
      </c>
      <c r="G21" s="90">
        <f t="shared" si="34"/>
        <v>-257436924.61538461</v>
      </c>
      <c r="H21" s="90">
        <f t="shared" si="34"/>
        <v>-257409402.76923075</v>
      </c>
      <c r="I21" s="90">
        <f t="shared" si="34"/>
        <v>-257381880.9230769</v>
      </c>
      <c r="J21" s="90">
        <f t="shared" si="34"/>
        <v>-257354359.07692307</v>
      </c>
      <c r="K21" s="90">
        <f t="shared" si="34"/>
        <v>-257326837.23076922</v>
      </c>
      <c r="L21" s="90">
        <f t="shared" si="34"/>
        <v>-257299315.38461539</v>
      </c>
      <c r="M21" s="90">
        <f t="shared" si="34"/>
        <v>-257271793.53846154</v>
      </c>
      <c r="N21" s="90">
        <f t="shared" si="34"/>
        <v>-257244271.69230768</v>
      </c>
      <c r="O21" s="90">
        <f t="shared" si="34"/>
        <v>-257189228</v>
      </c>
      <c r="P21" s="90"/>
      <c r="Q21" s="90"/>
      <c r="R21" s="90">
        <f t="shared" ref="R21:AE21" si="35">SUM(R13:R20)</f>
        <v>-31246663.507954709</v>
      </c>
      <c r="S21" s="90">
        <f t="shared" si="35"/>
        <v>-31243324.444304898</v>
      </c>
      <c r="T21" s="90">
        <f t="shared" si="35"/>
        <v>-31239985.380655084</v>
      </c>
      <c r="U21" s="90">
        <f t="shared" si="35"/>
        <v>-31236646.317005273</v>
      </c>
      <c r="V21" s="90">
        <f t="shared" si="35"/>
        <v>-31233307.253355462</v>
      </c>
      <c r="W21" s="90">
        <f t="shared" si="35"/>
        <v>-31229968.189705648</v>
      </c>
      <c r="X21" s="90">
        <f t="shared" si="35"/>
        <v>-31226629.126055837</v>
      </c>
      <c r="Y21" s="90">
        <f t="shared" si="35"/>
        <v>-31223290.062406026</v>
      </c>
      <c r="Z21" s="90">
        <f t="shared" si="35"/>
        <v>-31219950.998756211</v>
      </c>
      <c r="AA21" s="90">
        <f t="shared" si="35"/>
        <v>-31216611.9351064</v>
      </c>
      <c r="AB21" s="90">
        <f t="shared" si="35"/>
        <v>-31213272.871456586</v>
      </c>
      <c r="AC21" s="90">
        <f t="shared" si="35"/>
        <v>-31209933.807806775</v>
      </c>
      <c r="AD21" s="90">
        <f t="shared" si="35"/>
        <v>-31203255.68050715</v>
      </c>
      <c r="AE21" s="90">
        <f t="shared" si="35"/>
        <v>43407.827447557705</v>
      </c>
      <c r="AF21" s="90"/>
      <c r="AG21" s="90"/>
      <c r="AH21" s="90"/>
      <c r="AI21" s="90"/>
    </row>
    <row r="22" spans="1:35" s="6" customFormat="1" x14ac:dyDescent="0.25">
      <c r="A22" s="16"/>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row>
    <row r="23" spans="1:35" s="127" customFormat="1" x14ac:dyDescent="0.25">
      <c r="A23" s="126">
        <f>A21+1</f>
        <v>3</v>
      </c>
      <c r="B23" s="127" t="s">
        <v>888</v>
      </c>
      <c r="C23" s="128">
        <f t="shared" ref="C23:O23" si="36">SUMIF($AF$13:$AF$20,"Yes",C$13:C$20)</f>
        <v>-257547012</v>
      </c>
      <c r="D23" s="128">
        <f t="shared" si="36"/>
        <v>-257519490.15384614</v>
      </c>
      <c r="E23" s="128">
        <f t="shared" si="36"/>
        <v>-257491968.30769229</v>
      </c>
      <c r="F23" s="128">
        <f t="shared" si="36"/>
        <v>-257464446.46153846</v>
      </c>
      <c r="G23" s="128">
        <f t="shared" si="36"/>
        <v>-257436924.61538461</v>
      </c>
      <c r="H23" s="128">
        <f t="shared" si="36"/>
        <v>-257409402.76923075</v>
      </c>
      <c r="I23" s="128">
        <f t="shared" si="36"/>
        <v>-257381880.9230769</v>
      </c>
      <c r="J23" s="128">
        <f t="shared" si="36"/>
        <v>-257354359.07692307</v>
      </c>
      <c r="K23" s="128">
        <f t="shared" si="36"/>
        <v>-257326837.23076922</v>
      </c>
      <c r="L23" s="128">
        <f t="shared" si="36"/>
        <v>-257299315.38461539</v>
      </c>
      <c r="M23" s="128">
        <f t="shared" si="36"/>
        <v>-257271793.53846154</v>
      </c>
      <c r="N23" s="128">
        <f t="shared" si="36"/>
        <v>-257244271.69230768</v>
      </c>
      <c r="O23" s="128">
        <f t="shared" si="36"/>
        <v>-257189228</v>
      </c>
      <c r="P23" s="128"/>
      <c r="Q23" s="128"/>
      <c r="R23" s="128">
        <f t="shared" ref="R23:AE23" si="37">SUMIF($AF$13:$AF$20,"Yes",R$13:R$20)</f>
        <v>-31246663.507954709</v>
      </c>
      <c r="S23" s="128">
        <f t="shared" si="37"/>
        <v>-31243324.444304898</v>
      </c>
      <c r="T23" s="128">
        <f t="shared" si="37"/>
        <v>-31239985.380655084</v>
      </c>
      <c r="U23" s="128">
        <f t="shared" si="37"/>
        <v>-31236646.317005273</v>
      </c>
      <c r="V23" s="128">
        <f t="shared" si="37"/>
        <v>-31233307.253355462</v>
      </c>
      <c r="W23" s="128">
        <f t="shared" si="37"/>
        <v>-31229968.189705648</v>
      </c>
      <c r="X23" s="128">
        <f t="shared" si="37"/>
        <v>-31226629.126055837</v>
      </c>
      <c r="Y23" s="128">
        <f t="shared" si="37"/>
        <v>-31223290.062406026</v>
      </c>
      <c r="Z23" s="128">
        <f t="shared" si="37"/>
        <v>-31219950.998756211</v>
      </c>
      <c r="AA23" s="128">
        <f t="shared" si="37"/>
        <v>-31216611.9351064</v>
      </c>
      <c r="AB23" s="128">
        <f t="shared" si="37"/>
        <v>-31213272.871456586</v>
      </c>
      <c r="AC23" s="128">
        <f t="shared" si="37"/>
        <v>-31209933.807806775</v>
      </c>
      <c r="AD23" s="128">
        <f t="shared" si="37"/>
        <v>-31203255.68050715</v>
      </c>
      <c r="AE23" s="128">
        <f t="shared" si="37"/>
        <v>43407.827447557705</v>
      </c>
      <c r="AF23" s="128"/>
      <c r="AG23" s="128"/>
      <c r="AH23" s="128"/>
      <c r="AI23" s="128"/>
    </row>
    <row r="24" spans="1:35" s="127" customFormat="1" hidden="1" x14ac:dyDescent="0.25">
      <c r="A24" s="126"/>
      <c r="C24" s="128"/>
      <c r="D24" s="128"/>
      <c r="E24" s="128"/>
      <c r="F24" s="128"/>
      <c r="G24" s="128"/>
      <c r="H24" s="128"/>
      <c r="I24" s="128"/>
      <c r="J24" s="128"/>
      <c r="K24" s="128"/>
      <c r="L24" s="128"/>
      <c r="M24" s="128"/>
      <c r="N24" s="128"/>
      <c r="O24" s="128"/>
      <c r="P24" s="128"/>
      <c r="Q24" s="128"/>
      <c r="R24" s="128"/>
      <c r="S24" s="128">
        <f>S23-R23</f>
        <v>3339.0636498108506</v>
      </c>
      <c r="T24" s="128">
        <f t="shared" ref="T24:AD24" si="38">T23-S23</f>
        <v>3339.0636498145759</v>
      </c>
      <c r="U24" s="128">
        <f t="shared" si="38"/>
        <v>3339.0636498108506</v>
      </c>
      <c r="V24" s="128">
        <f t="shared" si="38"/>
        <v>3339.0636498108506</v>
      </c>
      <c r="W24" s="128">
        <f t="shared" si="38"/>
        <v>3339.0636498145759</v>
      </c>
      <c r="X24" s="128">
        <f t="shared" si="38"/>
        <v>3339.0636498108506</v>
      </c>
      <c r="Y24" s="128">
        <f t="shared" si="38"/>
        <v>3339.0636498108506</v>
      </c>
      <c r="Z24" s="128">
        <f t="shared" si="38"/>
        <v>3339.0636498145759</v>
      </c>
      <c r="AA24" s="128">
        <f t="shared" si="38"/>
        <v>3339.0636498108506</v>
      </c>
      <c r="AB24" s="128">
        <f t="shared" si="38"/>
        <v>3339.0636498145759</v>
      </c>
      <c r="AC24" s="128">
        <f t="shared" si="38"/>
        <v>3339.0636498108506</v>
      </c>
      <c r="AD24" s="128">
        <f t="shared" si="38"/>
        <v>6678.1272996254265</v>
      </c>
      <c r="AE24" s="128"/>
      <c r="AF24" s="128"/>
      <c r="AG24" s="128"/>
      <c r="AH24" s="128"/>
      <c r="AI24" s="128"/>
    </row>
    <row r="25" spans="1:35" s="127" customFormat="1" x14ac:dyDescent="0.25">
      <c r="A25" s="126">
        <f>A23+1</f>
        <v>4</v>
      </c>
      <c r="B25" s="127" t="s">
        <v>889</v>
      </c>
      <c r="C25" s="128">
        <f t="shared" ref="C25:O25" si="39">SUMIF($AF$13:$AF$20,"No",C$13:C$20)</f>
        <v>0</v>
      </c>
      <c r="D25" s="128">
        <f t="shared" si="39"/>
        <v>0</v>
      </c>
      <c r="E25" s="128">
        <f t="shared" si="39"/>
        <v>0</v>
      </c>
      <c r="F25" s="128">
        <f t="shared" si="39"/>
        <v>0</v>
      </c>
      <c r="G25" s="128">
        <f t="shared" si="39"/>
        <v>0</v>
      </c>
      <c r="H25" s="128">
        <f t="shared" si="39"/>
        <v>0</v>
      </c>
      <c r="I25" s="128">
        <f t="shared" si="39"/>
        <v>0</v>
      </c>
      <c r="J25" s="128">
        <f t="shared" si="39"/>
        <v>0</v>
      </c>
      <c r="K25" s="128">
        <f t="shared" si="39"/>
        <v>0</v>
      </c>
      <c r="L25" s="128">
        <f t="shared" si="39"/>
        <v>0</v>
      </c>
      <c r="M25" s="128">
        <f t="shared" si="39"/>
        <v>0</v>
      </c>
      <c r="N25" s="128">
        <f t="shared" si="39"/>
        <v>0</v>
      </c>
      <c r="O25" s="128">
        <f t="shared" si="39"/>
        <v>0</v>
      </c>
      <c r="P25" s="128"/>
      <c r="Q25" s="128"/>
      <c r="R25" s="128">
        <f t="shared" ref="R25:AE25" si="40">SUMIF($AF$13:$AF$20,"No",R$13:R$20)</f>
        <v>0</v>
      </c>
      <c r="S25" s="128">
        <f t="shared" si="40"/>
        <v>0</v>
      </c>
      <c r="T25" s="128">
        <f t="shared" si="40"/>
        <v>0</v>
      </c>
      <c r="U25" s="128">
        <f t="shared" si="40"/>
        <v>0</v>
      </c>
      <c r="V25" s="128">
        <f t="shared" si="40"/>
        <v>0</v>
      </c>
      <c r="W25" s="128">
        <f t="shared" si="40"/>
        <v>0</v>
      </c>
      <c r="X25" s="128">
        <f t="shared" si="40"/>
        <v>0</v>
      </c>
      <c r="Y25" s="128">
        <f t="shared" si="40"/>
        <v>0</v>
      </c>
      <c r="Z25" s="128">
        <f t="shared" si="40"/>
        <v>0</v>
      </c>
      <c r="AA25" s="128">
        <f t="shared" si="40"/>
        <v>0</v>
      </c>
      <c r="AB25" s="128">
        <f t="shared" si="40"/>
        <v>0</v>
      </c>
      <c r="AC25" s="128">
        <f t="shared" si="40"/>
        <v>0</v>
      </c>
      <c r="AD25" s="128">
        <f t="shared" si="40"/>
        <v>0</v>
      </c>
      <c r="AE25" s="128">
        <f t="shared" si="40"/>
        <v>0</v>
      </c>
      <c r="AF25" s="128"/>
      <c r="AG25" s="128"/>
      <c r="AH25" s="128"/>
      <c r="AI25" s="128"/>
    </row>
    <row r="26" spans="1:35" x14ac:dyDescent="0.25">
      <c r="C26" s="10"/>
      <c r="D26" s="10"/>
      <c r="E26" s="10"/>
      <c r="F26" s="10"/>
      <c r="G26" s="10"/>
      <c r="H26" s="10"/>
      <c r="I26" s="10"/>
      <c r="J26" s="10"/>
      <c r="K26" s="10"/>
      <c r="L26" s="10"/>
      <c r="M26" s="10"/>
      <c r="N26" s="10"/>
      <c r="O26" s="10"/>
    </row>
    <row r="27" spans="1:35" x14ac:dyDescent="0.25">
      <c r="A27" s="89" t="s">
        <v>894</v>
      </c>
      <c r="B27" s="89"/>
      <c r="C27" s="89"/>
      <c r="D27" s="90"/>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row>
    <row r="28" spans="1:35" x14ac:dyDescent="0.25">
      <c r="A28" s="31" t="s">
        <v>354</v>
      </c>
      <c r="B28" s="46" t="s">
        <v>525</v>
      </c>
      <c r="C28" s="37">
        <v>3172881</v>
      </c>
      <c r="D28" s="37">
        <f>((($O28-$C28)/13)+C28)</f>
        <v>3169753.5384615385</v>
      </c>
      <c r="E28" s="37">
        <f t="shared" ref="E28:N28" si="41">((($O28-$C28)/13)+D28)</f>
        <v>3166626.076923077</v>
      </c>
      <c r="F28" s="37">
        <f t="shared" si="41"/>
        <v>3163498.6153846155</v>
      </c>
      <c r="G28" s="37">
        <f t="shared" si="41"/>
        <v>3160371.153846154</v>
      </c>
      <c r="H28" s="37">
        <f t="shared" si="41"/>
        <v>3157243.6923076925</v>
      </c>
      <c r="I28" s="37">
        <f t="shared" si="41"/>
        <v>3154116.230769231</v>
      </c>
      <c r="J28" s="37">
        <f t="shared" si="41"/>
        <v>3150988.7692307695</v>
      </c>
      <c r="K28" s="37">
        <f t="shared" si="41"/>
        <v>3147861.307692308</v>
      </c>
      <c r="L28" s="37">
        <f t="shared" si="41"/>
        <v>3144733.8461538465</v>
      </c>
      <c r="M28" s="37">
        <f t="shared" si="41"/>
        <v>3141606.384615385</v>
      </c>
      <c r="N28" s="37">
        <f t="shared" si="41"/>
        <v>3138478.9230769235</v>
      </c>
      <c r="O28" s="37">
        <v>3132224</v>
      </c>
      <c r="P28" s="115" t="s">
        <v>333</v>
      </c>
      <c r="Q28" s="118">
        <f>IFERROR(VLOOKUP(P28,'A22 (Allocation Factors)'!$D:$F,3,0),0)</f>
        <v>0.12132411580047649</v>
      </c>
      <c r="R28" s="41">
        <f t="shared" ref="R28" si="42">C28*$Q28</f>
        <v>384946.98186513165</v>
      </c>
      <c r="S28" s="41">
        <f t="shared" ref="S28" si="43">D28*$Q28</f>
        <v>384567.54535927781</v>
      </c>
      <c r="T28" s="41">
        <f t="shared" ref="T28" si="44">E28*$Q28</f>
        <v>384188.10885342397</v>
      </c>
      <c r="U28" s="41">
        <f t="shared" ref="U28" si="45">F28*$Q28</f>
        <v>383808.67234757013</v>
      </c>
      <c r="V28" s="41">
        <f t="shared" ref="V28" si="46">G28*$Q28</f>
        <v>383429.23584171629</v>
      </c>
      <c r="W28" s="41">
        <f t="shared" ref="W28" si="47">H28*$Q28</f>
        <v>383049.79933586245</v>
      </c>
      <c r="X28" s="41">
        <f t="shared" ref="X28" si="48">I28*$Q28</f>
        <v>382670.36283000861</v>
      </c>
      <c r="Y28" s="41">
        <f t="shared" ref="Y28" si="49">J28*$Q28</f>
        <v>382290.92632415477</v>
      </c>
      <c r="Z28" s="41">
        <f t="shared" ref="Z28" si="50">K28*$Q28</f>
        <v>381911.48981830094</v>
      </c>
      <c r="AA28" s="41">
        <f t="shared" ref="AA28" si="51">L28*$Q28</f>
        <v>381532.0533124471</v>
      </c>
      <c r="AB28" s="41">
        <f t="shared" ref="AB28" si="52">M28*$Q28</f>
        <v>381152.61680659326</v>
      </c>
      <c r="AC28" s="41">
        <f t="shared" ref="AC28" si="53">N28*$Q28</f>
        <v>380773.18030073942</v>
      </c>
      <c r="AD28" s="41">
        <f t="shared" ref="AD28" si="54">O28*$Q28</f>
        <v>380014.30728903168</v>
      </c>
      <c r="AE28" s="41">
        <f t="shared" ref="AE28" si="55">AD28-R28</f>
        <v>-4932.674576099962</v>
      </c>
      <c r="AF28" s="31" t="s">
        <v>785</v>
      </c>
      <c r="AG28" s="31" t="s">
        <v>886</v>
      </c>
      <c r="AH28" s="46" t="s">
        <v>520</v>
      </c>
      <c r="AI28" s="46" t="s">
        <v>897</v>
      </c>
    </row>
    <row r="29" spans="1:35" x14ac:dyDescent="0.25">
      <c r="A29" s="31" t="s">
        <v>355</v>
      </c>
      <c r="B29" s="46" t="s">
        <v>1045</v>
      </c>
      <c r="C29" s="37">
        <v>14284537</v>
      </c>
      <c r="D29" s="37">
        <v>14284537</v>
      </c>
      <c r="E29" s="37">
        <v>14284537</v>
      </c>
      <c r="F29" s="37">
        <v>14284537</v>
      </c>
      <c r="G29" s="37">
        <v>14284537</v>
      </c>
      <c r="H29" s="37">
        <v>14284537</v>
      </c>
      <c r="I29" s="37">
        <v>14284537</v>
      </c>
      <c r="J29" s="37">
        <v>14284537</v>
      </c>
      <c r="K29" s="37">
        <v>14284537</v>
      </c>
      <c r="L29" s="37">
        <v>14284537</v>
      </c>
      <c r="M29" s="37">
        <v>14284537</v>
      </c>
      <c r="N29" s="37">
        <v>14284537</v>
      </c>
      <c r="O29" s="37">
        <v>14284537</v>
      </c>
      <c r="P29" s="115" t="s">
        <v>288</v>
      </c>
      <c r="Q29" s="119">
        <f>IFERROR(VLOOKUP(P29,'A22 (Allocation Factors)'!$D:$F,3,0),0)</f>
        <v>0.20882221657345243</v>
      </c>
      <c r="R29" s="41">
        <f>C29*$Q29</f>
        <v>2982928.6790654943</v>
      </c>
      <c r="S29" s="41">
        <f t="shared" ref="R29:AD32" si="56">D29*$Q29</f>
        <v>2982928.6790654943</v>
      </c>
      <c r="T29" s="41">
        <f t="shared" si="56"/>
        <v>2982928.6790654943</v>
      </c>
      <c r="U29" s="41">
        <f t="shared" si="56"/>
        <v>2982928.6790654943</v>
      </c>
      <c r="V29" s="41">
        <f t="shared" si="56"/>
        <v>2982928.6790654943</v>
      </c>
      <c r="W29" s="41">
        <f t="shared" si="56"/>
        <v>2982928.6790654943</v>
      </c>
      <c r="X29" s="41">
        <f t="shared" si="56"/>
        <v>2982928.6790654943</v>
      </c>
      <c r="Y29" s="41">
        <f t="shared" si="56"/>
        <v>2982928.6790654943</v>
      </c>
      <c r="Z29" s="41">
        <f t="shared" si="56"/>
        <v>2982928.6790654943</v>
      </c>
      <c r="AA29" s="41">
        <f t="shared" si="56"/>
        <v>2982928.6790654943</v>
      </c>
      <c r="AB29" s="41">
        <f t="shared" si="56"/>
        <v>2982928.6790654943</v>
      </c>
      <c r="AC29" s="41">
        <f t="shared" si="56"/>
        <v>2982928.6790654943</v>
      </c>
      <c r="AD29" s="41">
        <f t="shared" si="56"/>
        <v>2982928.6790654943</v>
      </c>
      <c r="AE29" s="41">
        <f>AD29-R29</f>
        <v>0</v>
      </c>
      <c r="AF29" s="31" t="s">
        <v>786</v>
      </c>
      <c r="AG29" s="31" t="s">
        <v>886</v>
      </c>
      <c r="AH29" s="46" t="s">
        <v>842</v>
      </c>
      <c r="AI29" s="46" t="s">
        <v>902</v>
      </c>
    </row>
    <row r="30" spans="1:35" x14ac:dyDescent="0.25">
      <c r="A30" s="31" t="s">
        <v>356</v>
      </c>
      <c r="B30" s="46" t="s">
        <v>1046</v>
      </c>
      <c r="C30" s="37">
        <v>21571509</v>
      </c>
      <c r="D30" s="37">
        <v>21571509</v>
      </c>
      <c r="E30" s="37">
        <v>21571509</v>
      </c>
      <c r="F30" s="37">
        <v>21571509</v>
      </c>
      <c r="G30" s="37">
        <v>21571509</v>
      </c>
      <c r="H30" s="37">
        <v>21571509</v>
      </c>
      <c r="I30" s="37">
        <v>21571509</v>
      </c>
      <c r="J30" s="37">
        <v>21571509</v>
      </c>
      <c r="K30" s="37">
        <v>21571509</v>
      </c>
      <c r="L30" s="37">
        <v>21571509</v>
      </c>
      <c r="M30" s="37">
        <v>21571509</v>
      </c>
      <c r="N30" s="37">
        <v>21571509</v>
      </c>
      <c r="O30" s="37">
        <v>21571509</v>
      </c>
      <c r="P30" s="115" t="s">
        <v>29</v>
      </c>
      <c r="Q30" s="119">
        <f>IFERROR(VLOOKUP(P30,'A22 (Allocation Factors)'!$D:$F,3,0),0)</f>
        <v>0</v>
      </c>
      <c r="R30" s="41">
        <f>C30*$Q30</f>
        <v>0</v>
      </c>
      <c r="S30" s="41">
        <f t="shared" ref="S30" si="57">D30*$Q30</f>
        <v>0</v>
      </c>
      <c r="T30" s="41">
        <f t="shared" ref="T30" si="58">E30*$Q30</f>
        <v>0</v>
      </c>
      <c r="U30" s="41">
        <f t="shared" ref="U30" si="59">F30*$Q30</f>
        <v>0</v>
      </c>
      <c r="V30" s="41">
        <f t="shared" ref="V30" si="60">G30*$Q30</f>
        <v>0</v>
      </c>
      <c r="W30" s="41">
        <f t="shared" ref="W30" si="61">H30*$Q30</f>
        <v>0</v>
      </c>
      <c r="X30" s="41">
        <f t="shared" ref="X30" si="62">I30*$Q30</f>
        <v>0</v>
      </c>
      <c r="Y30" s="41">
        <f t="shared" ref="Y30" si="63">J30*$Q30</f>
        <v>0</v>
      </c>
      <c r="Z30" s="41">
        <f t="shared" ref="Z30" si="64">K30*$Q30</f>
        <v>0</v>
      </c>
      <c r="AA30" s="41">
        <f t="shared" ref="AA30" si="65">L30*$Q30</f>
        <v>0</v>
      </c>
      <c r="AB30" s="41">
        <f t="shared" ref="AB30" si="66">M30*$Q30</f>
        <v>0</v>
      </c>
      <c r="AC30" s="41">
        <f t="shared" ref="AC30" si="67">N30*$Q30</f>
        <v>0</v>
      </c>
      <c r="AD30" s="41">
        <f t="shared" ref="AD30" si="68">O30*$Q30</f>
        <v>0</v>
      </c>
      <c r="AE30" s="41">
        <f>AD30-R30</f>
        <v>0</v>
      </c>
      <c r="AF30" s="31" t="s">
        <v>786</v>
      </c>
      <c r="AG30" s="31" t="s">
        <v>886</v>
      </c>
      <c r="AH30" s="46" t="s">
        <v>842</v>
      </c>
      <c r="AI30" s="46" t="s">
        <v>901</v>
      </c>
    </row>
    <row r="31" spans="1:35" x14ac:dyDescent="0.25">
      <c r="A31" s="31" t="s">
        <v>511</v>
      </c>
      <c r="B31" s="46" t="s">
        <v>998</v>
      </c>
      <c r="C31" s="37">
        <v>19238409</v>
      </c>
      <c r="D31" s="37">
        <v>19238409</v>
      </c>
      <c r="E31" s="37">
        <v>19238409</v>
      </c>
      <c r="F31" s="37">
        <v>19238409</v>
      </c>
      <c r="G31" s="37">
        <v>19238409</v>
      </c>
      <c r="H31" s="37">
        <v>19238409</v>
      </c>
      <c r="I31" s="37">
        <v>19238409</v>
      </c>
      <c r="J31" s="37">
        <v>19238409</v>
      </c>
      <c r="K31" s="37">
        <v>19238409</v>
      </c>
      <c r="L31" s="37">
        <v>19238409</v>
      </c>
      <c r="M31" s="37">
        <v>19238409</v>
      </c>
      <c r="N31" s="37">
        <v>19238409</v>
      </c>
      <c r="O31" s="37">
        <v>19238409</v>
      </c>
      <c r="P31" s="115" t="s">
        <v>333</v>
      </c>
      <c r="Q31" s="119">
        <f>IFERROR(VLOOKUP(P31,'A22 (Allocation Factors)'!$D:$F,3,0),0)</f>
        <v>0.12132411580047649</v>
      </c>
      <c r="R31" s="41">
        <f t="shared" si="56"/>
        <v>2334082.9613329289</v>
      </c>
      <c r="S31" s="41">
        <f t="shared" si="56"/>
        <v>2334082.9613329289</v>
      </c>
      <c r="T31" s="41">
        <f t="shared" si="56"/>
        <v>2334082.9613329289</v>
      </c>
      <c r="U31" s="41">
        <f t="shared" si="56"/>
        <v>2334082.9613329289</v>
      </c>
      <c r="V31" s="41">
        <f t="shared" si="56"/>
        <v>2334082.9613329289</v>
      </c>
      <c r="W31" s="41">
        <f t="shared" si="56"/>
        <v>2334082.9613329289</v>
      </c>
      <c r="X31" s="41">
        <f t="shared" si="56"/>
        <v>2334082.9613329289</v>
      </c>
      <c r="Y31" s="41">
        <f t="shared" si="56"/>
        <v>2334082.9613329289</v>
      </c>
      <c r="Z31" s="41">
        <f t="shared" si="56"/>
        <v>2334082.9613329289</v>
      </c>
      <c r="AA31" s="41">
        <f t="shared" si="56"/>
        <v>2334082.9613329289</v>
      </c>
      <c r="AB31" s="41">
        <f t="shared" si="56"/>
        <v>2334082.9613329289</v>
      </c>
      <c r="AC31" s="41">
        <f t="shared" si="56"/>
        <v>2334082.9613329289</v>
      </c>
      <c r="AD31" s="41">
        <f t="shared" si="56"/>
        <v>2334082.9613329289</v>
      </c>
      <c r="AE31" s="41">
        <f t="shared" ref="AE31:AE32" si="69">AD31-R31</f>
        <v>0</v>
      </c>
      <c r="AF31" s="31" t="s">
        <v>785</v>
      </c>
      <c r="AG31" s="31" t="s">
        <v>886</v>
      </c>
      <c r="AH31" s="46" t="s">
        <v>520</v>
      </c>
      <c r="AI31" s="46" t="s">
        <v>897</v>
      </c>
    </row>
    <row r="32" spans="1:35" x14ac:dyDescent="0.25">
      <c r="A32" s="100" t="s">
        <v>516</v>
      </c>
      <c r="B32" s="48" t="s">
        <v>357</v>
      </c>
      <c r="C32" s="20">
        <v>0</v>
      </c>
      <c r="D32" s="37">
        <v>0</v>
      </c>
      <c r="E32" s="37">
        <v>0</v>
      </c>
      <c r="F32" s="37">
        <v>0</v>
      </c>
      <c r="G32" s="37">
        <v>0</v>
      </c>
      <c r="H32" s="37">
        <v>0</v>
      </c>
      <c r="I32" s="37">
        <v>0</v>
      </c>
      <c r="J32" s="37">
        <v>0</v>
      </c>
      <c r="K32" s="37">
        <v>0</v>
      </c>
      <c r="L32" s="37">
        <v>0</v>
      </c>
      <c r="M32" s="37">
        <v>0</v>
      </c>
      <c r="N32" s="37">
        <v>0</v>
      </c>
      <c r="O32" s="20">
        <v>0</v>
      </c>
      <c r="P32" s="116" t="s">
        <v>357</v>
      </c>
      <c r="Q32" s="120">
        <f>IFERROR(VLOOKUP(P32,'A22 (Allocation Factors)'!$D:$F,3,0),0)</f>
        <v>0</v>
      </c>
      <c r="R32" s="41">
        <f t="shared" si="56"/>
        <v>0</v>
      </c>
      <c r="S32" s="41">
        <f t="shared" si="56"/>
        <v>0</v>
      </c>
      <c r="T32" s="41">
        <f t="shared" si="56"/>
        <v>0</v>
      </c>
      <c r="U32" s="41">
        <f t="shared" si="56"/>
        <v>0</v>
      </c>
      <c r="V32" s="41">
        <f t="shared" si="56"/>
        <v>0</v>
      </c>
      <c r="W32" s="41">
        <f t="shared" si="56"/>
        <v>0</v>
      </c>
      <c r="X32" s="41">
        <f t="shared" si="56"/>
        <v>0</v>
      </c>
      <c r="Y32" s="41">
        <f t="shared" si="56"/>
        <v>0</v>
      </c>
      <c r="Z32" s="41">
        <f t="shared" si="56"/>
        <v>0</v>
      </c>
      <c r="AA32" s="41">
        <f t="shared" si="56"/>
        <v>0</v>
      </c>
      <c r="AB32" s="41">
        <f t="shared" si="56"/>
        <v>0</v>
      </c>
      <c r="AC32" s="41">
        <f t="shared" si="56"/>
        <v>0</v>
      </c>
      <c r="AD32" s="41">
        <f t="shared" si="56"/>
        <v>0</v>
      </c>
      <c r="AE32" s="41">
        <f t="shared" si="69"/>
        <v>0</v>
      </c>
      <c r="AF32" s="31" t="s">
        <v>357</v>
      </c>
      <c r="AG32" s="31"/>
      <c r="AH32" s="46" t="s">
        <v>357</v>
      </c>
      <c r="AI32" s="46" t="s">
        <v>357</v>
      </c>
    </row>
    <row r="33" spans="1:35" s="6" customFormat="1" x14ac:dyDescent="0.25">
      <c r="A33" s="88">
        <v>6</v>
      </c>
      <c r="B33" s="89" t="str">
        <f>"Total Deficient Deferred Income Taxes Acct No. 182.3 (Sum Lns. "&amp;A28&amp;" through "&amp;A32&amp;")"</f>
        <v>Total Deficient Deferred Income Taxes Acct No. 182.3 (Sum Lns. 5a through 5zz)</v>
      </c>
      <c r="C33" s="90">
        <f t="shared" ref="C33:O33" si="70">SUM(C28:C32)</f>
        <v>58267336</v>
      </c>
      <c r="D33" s="90">
        <f t="shared" si="70"/>
        <v>58264208.538461536</v>
      </c>
      <c r="E33" s="90">
        <f t="shared" si="70"/>
        <v>58261081.076923072</v>
      </c>
      <c r="F33" s="90">
        <f t="shared" si="70"/>
        <v>58257953.615384616</v>
      </c>
      <c r="G33" s="90">
        <f t="shared" si="70"/>
        <v>58254826.153846152</v>
      </c>
      <c r="H33" s="90">
        <f t="shared" si="70"/>
        <v>58251698.692307696</v>
      </c>
      <c r="I33" s="90">
        <f t="shared" si="70"/>
        <v>58248571.230769232</v>
      </c>
      <c r="J33" s="90">
        <f t="shared" si="70"/>
        <v>58245443.769230768</v>
      </c>
      <c r="K33" s="90">
        <f t="shared" si="70"/>
        <v>58242316.307692304</v>
      </c>
      <c r="L33" s="90">
        <f t="shared" si="70"/>
        <v>58239188.846153848</v>
      </c>
      <c r="M33" s="90">
        <f t="shared" si="70"/>
        <v>58236061.384615384</v>
      </c>
      <c r="N33" s="90">
        <f t="shared" si="70"/>
        <v>58232933.923076928</v>
      </c>
      <c r="O33" s="90">
        <f t="shared" si="70"/>
        <v>58226679</v>
      </c>
      <c r="P33" s="90"/>
      <c r="Q33" s="90"/>
      <c r="R33" s="90">
        <f t="shared" ref="R33:AE33" si="71">SUM(R28:R32)</f>
        <v>5701958.6222635545</v>
      </c>
      <c r="S33" s="90">
        <f t="shared" si="71"/>
        <v>5701579.1857577004</v>
      </c>
      <c r="T33" s="90">
        <f t="shared" si="71"/>
        <v>5701199.7492518472</v>
      </c>
      <c r="U33" s="90">
        <f t="shared" si="71"/>
        <v>5700820.312745994</v>
      </c>
      <c r="V33" s="90">
        <f t="shared" si="71"/>
        <v>5700440.8762401398</v>
      </c>
      <c r="W33" s="90">
        <f t="shared" si="71"/>
        <v>5700061.4397342857</v>
      </c>
      <c r="X33" s="90">
        <f t="shared" si="71"/>
        <v>5699682.0032284316</v>
      </c>
      <c r="Y33" s="90">
        <f t="shared" si="71"/>
        <v>5699302.5667225774</v>
      </c>
      <c r="Z33" s="90">
        <f t="shared" si="71"/>
        <v>5698923.1302167242</v>
      </c>
      <c r="AA33" s="90">
        <f t="shared" si="71"/>
        <v>5698543.6937108701</v>
      </c>
      <c r="AB33" s="90">
        <f t="shared" si="71"/>
        <v>5698164.2572050169</v>
      </c>
      <c r="AC33" s="90">
        <f t="shared" si="71"/>
        <v>5697784.8206991628</v>
      </c>
      <c r="AD33" s="90">
        <f t="shared" si="71"/>
        <v>5697025.9476874545</v>
      </c>
      <c r="AE33" s="90">
        <f t="shared" si="71"/>
        <v>-4932.674576099962</v>
      </c>
      <c r="AF33" s="90"/>
      <c r="AG33" s="90"/>
      <c r="AH33" s="90"/>
      <c r="AI33" s="90"/>
    </row>
    <row r="34" spans="1:35" s="6" customFormat="1" x14ac:dyDescent="0.25">
      <c r="A34" s="16"/>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row>
    <row r="35" spans="1:35" s="127" customFormat="1" x14ac:dyDescent="0.25">
      <c r="A35" s="126">
        <f>A33+1</f>
        <v>7</v>
      </c>
      <c r="B35" s="127" t="s">
        <v>890</v>
      </c>
      <c r="C35" s="128">
        <f t="shared" ref="C35:O35" si="72">SUMIF($AF$28:$AF$32,"Yes",C$28:C$32)</f>
        <v>22411290</v>
      </c>
      <c r="D35" s="128">
        <f t="shared" si="72"/>
        <v>22408162.53846154</v>
      </c>
      <c r="E35" s="128">
        <f t="shared" si="72"/>
        <v>22405035.076923076</v>
      </c>
      <c r="F35" s="128">
        <f t="shared" si="72"/>
        <v>22401907.615384616</v>
      </c>
      <c r="G35" s="128">
        <f t="shared" si="72"/>
        <v>22398780.153846152</v>
      </c>
      <c r="H35" s="128">
        <f t="shared" si="72"/>
        <v>22395652.692307692</v>
      </c>
      <c r="I35" s="128">
        <f t="shared" si="72"/>
        <v>22392525.230769232</v>
      </c>
      <c r="J35" s="128">
        <f t="shared" si="72"/>
        <v>22389397.769230768</v>
      </c>
      <c r="K35" s="128">
        <f t="shared" si="72"/>
        <v>22386270.307692308</v>
      </c>
      <c r="L35" s="128">
        <f t="shared" si="72"/>
        <v>22383142.846153848</v>
      </c>
      <c r="M35" s="128">
        <f t="shared" si="72"/>
        <v>22380015.384615384</v>
      </c>
      <c r="N35" s="128">
        <f t="shared" si="72"/>
        <v>22376887.923076924</v>
      </c>
      <c r="O35" s="128">
        <f t="shared" si="72"/>
        <v>22370633</v>
      </c>
      <c r="P35" s="128"/>
      <c r="Q35" s="128"/>
      <c r="R35" s="128">
        <f t="shared" ref="R35:AE35" si="73">SUMIF($AF$28:$AF$32,"Yes",R$28:R$32)</f>
        <v>2719029.9431980606</v>
      </c>
      <c r="S35" s="128">
        <f t="shared" si="73"/>
        <v>2718650.5066922065</v>
      </c>
      <c r="T35" s="128">
        <f t="shared" si="73"/>
        <v>2718271.0701863528</v>
      </c>
      <c r="U35" s="128">
        <f t="shared" si="73"/>
        <v>2717891.6336804992</v>
      </c>
      <c r="V35" s="128">
        <f t="shared" si="73"/>
        <v>2717512.197174645</v>
      </c>
      <c r="W35" s="128">
        <f t="shared" si="73"/>
        <v>2717132.7606687914</v>
      </c>
      <c r="X35" s="128">
        <f t="shared" si="73"/>
        <v>2716753.3241629377</v>
      </c>
      <c r="Y35" s="128">
        <f t="shared" si="73"/>
        <v>2716373.8876570836</v>
      </c>
      <c r="Z35" s="128">
        <f t="shared" si="73"/>
        <v>2715994.4511512299</v>
      </c>
      <c r="AA35" s="128">
        <f t="shared" si="73"/>
        <v>2715615.0146453758</v>
      </c>
      <c r="AB35" s="128">
        <f t="shared" si="73"/>
        <v>2715235.5781395221</v>
      </c>
      <c r="AC35" s="128">
        <f t="shared" si="73"/>
        <v>2714856.1416336684</v>
      </c>
      <c r="AD35" s="128">
        <f t="shared" si="73"/>
        <v>2714097.2686219607</v>
      </c>
      <c r="AE35" s="128">
        <f t="shared" si="73"/>
        <v>-4932.674576099962</v>
      </c>
      <c r="AF35" s="128"/>
      <c r="AG35" s="128"/>
      <c r="AH35" s="128"/>
      <c r="AI35" s="128"/>
    </row>
    <row r="36" spans="1:35" s="127" customFormat="1" hidden="1" x14ac:dyDescent="0.25">
      <c r="A36" s="126"/>
      <c r="C36" s="128"/>
      <c r="D36" s="128"/>
      <c r="E36" s="128"/>
      <c r="F36" s="128"/>
      <c r="G36" s="128"/>
      <c r="H36" s="128"/>
      <c r="I36" s="128"/>
      <c r="J36" s="128"/>
      <c r="K36" s="128"/>
      <c r="L36" s="128"/>
      <c r="M36" s="128"/>
      <c r="N36" s="128"/>
      <c r="O36" s="128"/>
      <c r="P36" s="128"/>
      <c r="Q36" s="128"/>
      <c r="R36" s="128"/>
      <c r="S36" s="128">
        <f>S35-R35</f>
        <v>-379.43650585412979</v>
      </c>
      <c r="T36" s="128">
        <f t="shared" ref="T36:AD36" si="74">T35-S35</f>
        <v>-379.43650585366413</v>
      </c>
      <c r="U36" s="128">
        <f t="shared" si="74"/>
        <v>-379.43650585366413</v>
      </c>
      <c r="V36" s="128">
        <f t="shared" si="74"/>
        <v>-379.43650585412979</v>
      </c>
      <c r="W36" s="128">
        <f t="shared" si="74"/>
        <v>-379.43650585366413</v>
      </c>
      <c r="X36" s="128">
        <f t="shared" si="74"/>
        <v>-379.43650585366413</v>
      </c>
      <c r="Y36" s="128">
        <f t="shared" si="74"/>
        <v>-379.43650585412979</v>
      </c>
      <c r="Z36" s="128">
        <f t="shared" si="74"/>
        <v>-379.43650585366413</v>
      </c>
      <c r="AA36" s="128">
        <f t="shared" si="74"/>
        <v>-379.43650585412979</v>
      </c>
      <c r="AB36" s="128">
        <f t="shared" si="74"/>
        <v>-379.43650585366413</v>
      </c>
      <c r="AC36" s="128">
        <f t="shared" si="74"/>
        <v>-379.43650585366413</v>
      </c>
      <c r="AD36" s="128">
        <f t="shared" si="74"/>
        <v>-758.87301170779392</v>
      </c>
      <c r="AE36" s="128"/>
      <c r="AF36" s="128"/>
      <c r="AG36" s="128"/>
      <c r="AH36" s="128"/>
      <c r="AI36" s="128"/>
    </row>
    <row r="37" spans="1:35" s="127" customFormat="1" x14ac:dyDescent="0.25">
      <c r="A37" s="126">
        <f>A35+1</f>
        <v>8</v>
      </c>
      <c r="B37" s="127" t="s">
        <v>891</v>
      </c>
      <c r="C37" s="128">
        <f t="shared" ref="C37:O37" si="75">SUMIF($AF$28:$AF$32,"No",C$28:C$32)</f>
        <v>35856046</v>
      </c>
      <c r="D37" s="128">
        <f t="shared" si="75"/>
        <v>35856046</v>
      </c>
      <c r="E37" s="128">
        <f t="shared" si="75"/>
        <v>35856046</v>
      </c>
      <c r="F37" s="128">
        <f t="shared" si="75"/>
        <v>35856046</v>
      </c>
      <c r="G37" s="128">
        <f t="shared" si="75"/>
        <v>35856046</v>
      </c>
      <c r="H37" s="128">
        <f t="shared" si="75"/>
        <v>35856046</v>
      </c>
      <c r="I37" s="128">
        <f t="shared" si="75"/>
        <v>35856046</v>
      </c>
      <c r="J37" s="128">
        <f t="shared" si="75"/>
        <v>35856046</v>
      </c>
      <c r="K37" s="128">
        <f t="shared" si="75"/>
        <v>35856046</v>
      </c>
      <c r="L37" s="128">
        <f t="shared" si="75"/>
        <v>35856046</v>
      </c>
      <c r="M37" s="128">
        <f t="shared" si="75"/>
        <v>35856046</v>
      </c>
      <c r="N37" s="128">
        <f t="shared" si="75"/>
        <v>35856046</v>
      </c>
      <c r="O37" s="128">
        <f t="shared" si="75"/>
        <v>35856046</v>
      </c>
      <c r="P37" s="128"/>
      <c r="Q37" s="128"/>
      <c r="R37" s="128">
        <f t="shared" ref="R37:AE37" si="76">SUMIF($AF$28:$AF$32,"No",R$28:R$32)</f>
        <v>2982928.6790654943</v>
      </c>
      <c r="S37" s="128">
        <f t="shared" si="76"/>
        <v>2982928.6790654943</v>
      </c>
      <c r="T37" s="128">
        <f t="shared" si="76"/>
        <v>2982928.6790654943</v>
      </c>
      <c r="U37" s="128">
        <f t="shared" si="76"/>
        <v>2982928.6790654943</v>
      </c>
      <c r="V37" s="128">
        <f t="shared" si="76"/>
        <v>2982928.6790654943</v>
      </c>
      <c r="W37" s="128">
        <f t="shared" si="76"/>
        <v>2982928.6790654943</v>
      </c>
      <c r="X37" s="128">
        <f t="shared" si="76"/>
        <v>2982928.6790654943</v>
      </c>
      <c r="Y37" s="128">
        <f t="shared" si="76"/>
        <v>2982928.6790654943</v>
      </c>
      <c r="Z37" s="128">
        <f t="shared" si="76"/>
        <v>2982928.6790654943</v>
      </c>
      <c r="AA37" s="128">
        <f t="shared" si="76"/>
        <v>2982928.6790654943</v>
      </c>
      <c r="AB37" s="128">
        <f t="shared" si="76"/>
        <v>2982928.6790654943</v>
      </c>
      <c r="AC37" s="128">
        <f t="shared" si="76"/>
        <v>2982928.6790654943</v>
      </c>
      <c r="AD37" s="128">
        <f t="shared" si="76"/>
        <v>2982928.6790654943</v>
      </c>
      <c r="AE37" s="128">
        <f t="shared" si="76"/>
        <v>0</v>
      </c>
      <c r="AF37" s="128"/>
      <c r="AG37" s="128"/>
      <c r="AH37" s="128"/>
      <c r="AI37" s="128"/>
    </row>
    <row r="39" spans="1:35" s="6" customFormat="1" ht="16.5" thickBot="1" x14ac:dyDescent="0.3">
      <c r="A39" s="56">
        <f>A37+1</f>
        <v>9</v>
      </c>
      <c r="B39" s="57" t="str">
        <f>"Total Excess and Deficient Deferred Income Taxes (Lns. "&amp;A21&amp;" + "&amp;A33&amp;")"</f>
        <v>Total Excess and Deficient Deferred Income Taxes (Lns. 2 + 6)</v>
      </c>
      <c r="C39" s="29">
        <f>C21+C33</f>
        <v>-199279676</v>
      </c>
      <c r="D39" s="29">
        <f t="shared" ref="D39:O39" si="77">D21+D33</f>
        <v>-199255281.61538461</v>
      </c>
      <c r="E39" s="29">
        <f t="shared" si="77"/>
        <v>-199230887.23076922</v>
      </c>
      <c r="F39" s="29">
        <f t="shared" si="77"/>
        <v>-199206492.84615386</v>
      </c>
      <c r="G39" s="29">
        <f t="shared" si="77"/>
        <v>-199182098.46153846</v>
      </c>
      <c r="H39" s="29">
        <f t="shared" si="77"/>
        <v>-199157704.07692307</v>
      </c>
      <c r="I39" s="29">
        <f t="shared" si="77"/>
        <v>-199133309.69230765</v>
      </c>
      <c r="J39" s="29">
        <f t="shared" si="77"/>
        <v>-199108915.30769229</v>
      </c>
      <c r="K39" s="29">
        <f t="shared" si="77"/>
        <v>-199084520.92307693</v>
      </c>
      <c r="L39" s="29">
        <f t="shared" si="77"/>
        <v>-199060126.53846154</v>
      </c>
      <c r="M39" s="29">
        <f t="shared" si="77"/>
        <v>-199035732.15384614</v>
      </c>
      <c r="N39" s="29">
        <f t="shared" si="77"/>
        <v>-199011337.76923075</v>
      </c>
      <c r="O39" s="29">
        <f t="shared" si="77"/>
        <v>-198962549</v>
      </c>
      <c r="P39" s="29"/>
      <c r="Q39" s="29"/>
      <c r="R39" s="29">
        <f>R21+R33</f>
        <v>-25544704.885691155</v>
      </c>
      <c r="S39" s="29">
        <f t="shared" ref="S39:AD39" si="78">S21+S33</f>
        <v>-25541745.258547198</v>
      </c>
      <c r="T39" s="29">
        <f t="shared" si="78"/>
        <v>-25538785.631403238</v>
      </c>
      <c r="U39" s="29">
        <f t="shared" si="78"/>
        <v>-25535826.004259281</v>
      </c>
      <c r="V39" s="29">
        <f t="shared" si="78"/>
        <v>-25532866.377115324</v>
      </c>
      <c r="W39" s="29">
        <f t="shared" si="78"/>
        <v>-25529906.74997136</v>
      </c>
      <c r="X39" s="29">
        <f t="shared" si="78"/>
        <v>-25526947.122827403</v>
      </c>
      <c r="Y39" s="29">
        <f t="shared" si="78"/>
        <v>-25523987.495683447</v>
      </c>
      <c r="Z39" s="29">
        <f t="shared" si="78"/>
        <v>-25521027.868539486</v>
      </c>
      <c r="AA39" s="29">
        <f t="shared" si="78"/>
        <v>-25518068.241395529</v>
      </c>
      <c r="AB39" s="29">
        <f t="shared" si="78"/>
        <v>-25515108.614251569</v>
      </c>
      <c r="AC39" s="29">
        <f t="shared" si="78"/>
        <v>-25512148.987107612</v>
      </c>
      <c r="AD39" s="29">
        <f t="shared" si="78"/>
        <v>-25506229.732819695</v>
      </c>
      <c r="AE39" s="29">
        <f>AE21+AE33</f>
        <v>38475.152871457743</v>
      </c>
      <c r="AF39" s="29"/>
      <c r="AG39" s="29"/>
      <c r="AH39" s="29"/>
      <c r="AI39" s="29"/>
    </row>
    <row r="40" spans="1:35" s="6" customFormat="1" ht="16.5" thickTop="1" x14ac:dyDescent="0.25">
      <c r="A40" s="16"/>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row>
    <row r="41" spans="1:35" s="127" customFormat="1" x14ac:dyDescent="0.25">
      <c r="A41" s="126">
        <f>A39+1</f>
        <v>10</v>
      </c>
      <c r="B41" s="127" t="s">
        <v>806</v>
      </c>
      <c r="C41" s="128">
        <f>C23+C35</f>
        <v>-235135722</v>
      </c>
      <c r="D41" s="128">
        <f t="shared" ref="D41:O41" si="79">D23+D35</f>
        <v>-235111327.61538461</v>
      </c>
      <c r="E41" s="128">
        <f t="shared" si="79"/>
        <v>-235086933.23076922</v>
      </c>
      <c r="F41" s="128">
        <f t="shared" si="79"/>
        <v>-235062538.84615386</v>
      </c>
      <c r="G41" s="128">
        <f t="shared" si="79"/>
        <v>-235038144.46153846</v>
      </c>
      <c r="H41" s="128">
        <f t="shared" si="79"/>
        <v>-235013750.07692307</v>
      </c>
      <c r="I41" s="128">
        <f t="shared" si="79"/>
        <v>-234989355.69230765</v>
      </c>
      <c r="J41" s="128">
        <f t="shared" si="79"/>
        <v>-234964961.30769229</v>
      </c>
      <c r="K41" s="128">
        <f t="shared" si="79"/>
        <v>-234940566.9230769</v>
      </c>
      <c r="L41" s="128">
        <f t="shared" si="79"/>
        <v>-234916172.53846154</v>
      </c>
      <c r="M41" s="128">
        <f t="shared" si="79"/>
        <v>-234891778.15384614</v>
      </c>
      <c r="N41" s="128">
        <f t="shared" si="79"/>
        <v>-234867383.76923075</v>
      </c>
      <c r="O41" s="128">
        <f t="shared" si="79"/>
        <v>-234818595</v>
      </c>
      <c r="P41" s="128"/>
      <c r="Q41" s="128"/>
      <c r="R41" s="128">
        <f>R23+R35</f>
        <v>-28527633.564756647</v>
      </c>
      <c r="S41" s="128">
        <f t="shared" ref="S41:AB41" si="80">S23+S35</f>
        <v>-28524673.93761269</v>
      </c>
      <c r="T41" s="128">
        <f t="shared" si="80"/>
        <v>-28521714.31046873</v>
      </c>
      <c r="U41" s="128">
        <f t="shared" si="80"/>
        <v>-28518754.683324773</v>
      </c>
      <c r="V41" s="128">
        <f t="shared" si="80"/>
        <v>-28515795.056180816</v>
      </c>
      <c r="W41" s="128">
        <f t="shared" si="80"/>
        <v>-28512835.429036856</v>
      </c>
      <c r="X41" s="128">
        <f t="shared" si="80"/>
        <v>-28509875.801892899</v>
      </c>
      <c r="Y41" s="128">
        <f t="shared" si="80"/>
        <v>-28506916.174748942</v>
      </c>
      <c r="Z41" s="128">
        <f t="shared" si="80"/>
        <v>-28503956.547604982</v>
      </c>
      <c r="AA41" s="128">
        <f t="shared" si="80"/>
        <v>-28500996.920461025</v>
      </c>
      <c r="AB41" s="128">
        <f t="shared" si="80"/>
        <v>-28498037.293317065</v>
      </c>
      <c r="AC41" s="128">
        <f>AC23+AC35</f>
        <v>-28495077.666173108</v>
      </c>
      <c r="AD41" s="128">
        <f>AD23+AD35</f>
        <v>-28489158.411885187</v>
      </c>
      <c r="AE41" s="128">
        <f>AE23+AE35</f>
        <v>38475.152871457743</v>
      </c>
      <c r="AF41" s="128"/>
      <c r="AG41" s="128"/>
      <c r="AH41" s="128"/>
      <c r="AI41" s="128"/>
    </row>
    <row r="42" spans="1:35" s="127" customFormat="1" hidden="1" x14ac:dyDescent="0.25">
      <c r="A42" s="126"/>
      <c r="C42" s="128"/>
      <c r="D42" s="128"/>
      <c r="E42" s="128"/>
      <c r="F42" s="128"/>
      <c r="G42" s="128"/>
      <c r="H42" s="128"/>
      <c r="I42" s="128"/>
      <c r="J42" s="128"/>
      <c r="K42" s="128"/>
      <c r="L42" s="128"/>
      <c r="M42" s="128"/>
      <c r="N42" s="128"/>
      <c r="O42" s="128"/>
      <c r="P42" s="128"/>
      <c r="Q42" s="128"/>
      <c r="R42" s="128"/>
      <c r="S42" s="128">
        <f>S41-R41</f>
        <v>2959.6271439567208</v>
      </c>
      <c r="T42" s="128">
        <f t="shared" ref="T42:AE42" si="81">T41-S41</f>
        <v>2959.6271439604461</v>
      </c>
      <c r="U42" s="128">
        <f t="shared" si="81"/>
        <v>2959.6271439567208</v>
      </c>
      <c r="V42" s="128">
        <f t="shared" si="81"/>
        <v>2959.6271439567208</v>
      </c>
      <c r="W42" s="128">
        <f t="shared" si="81"/>
        <v>2959.6271439604461</v>
      </c>
      <c r="X42" s="128">
        <f t="shared" si="81"/>
        <v>2959.6271439567208</v>
      </c>
      <c r="Y42" s="128">
        <f t="shared" si="81"/>
        <v>2959.6271439567208</v>
      </c>
      <c r="Z42" s="128">
        <f t="shared" si="81"/>
        <v>2959.6271439604461</v>
      </c>
      <c r="AA42" s="128">
        <f t="shared" si="81"/>
        <v>2959.6271439567208</v>
      </c>
      <c r="AB42" s="128">
        <f t="shared" si="81"/>
        <v>2959.6271439604461</v>
      </c>
      <c r="AC42" s="128">
        <f t="shared" si="81"/>
        <v>2959.6271439567208</v>
      </c>
      <c r="AD42" s="128">
        <f t="shared" si="81"/>
        <v>5919.2542879208922</v>
      </c>
      <c r="AE42" s="128">
        <f t="shared" si="81"/>
        <v>28527633.564756643</v>
      </c>
      <c r="AF42" s="128"/>
      <c r="AG42" s="128"/>
      <c r="AH42" s="128"/>
      <c r="AI42" s="128"/>
    </row>
    <row r="43" spans="1:35" s="217" customFormat="1" x14ac:dyDescent="0.25">
      <c r="A43" s="215">
        <f>A41+1</f>
        <v>11</v>
      </c>
      <c r="B43" s="217" t="s">
        <v>807</v>
      </c>
      <c r="C43" s="247">
        <f>+C25+C37</f>
        <v>35856046</v>
      </c>
      <c r="D43" s="247">
        <f t="shared" ref="D43:O43" si="82">+D25+D37</f>
        <v>35856046</v>
      </c>
      <c r="E43" s="247">
        <f t="shared" si="82"/>
        <v>35856046</v>
      </c>
      <c r="F43" s="247">
        <f t="shared" si="82"/>
        <v>35856046</v>
      </c>
      <c r="G43" s="247">
        <f t="shared" si="82"/>
        <v>35856046</v>
      </c>
      <c r="H43" s="247">
        <f t="shared" si="82"/>
        <v>35856046</v>
      </c>
      <c r="I43" s="247">
        <f t="shared" si="82"/>
        <v>35856046</v>
      </c>
      <c r="J43" s="247">
        <f t="shared" si="82"/>
        <v>35856046</v>
      </c>
      <c r="K43" s="247">
        <f t="shared" si="82"/>
        <v>35856046</v>
      </c>
      <c r="L43" s="247">
        <f t="shared" si="82"/>
        <v>35856046</v>
      </c>
      <c r="M43" s="247">
        <f t="shared" si="82"/>
        <v>35856046</v>
      </c>
      <c r="N43" s="247">
        <f t="shared" si="82"/>
        <v>35856046</v>
      </c>
      <c r="O43" s="247">
        <f t="shared" si="82"/>
        <v>35856046</v>
      </c>
      <c r="P43" s="247"/>
      <c r="Q43" s="247"/>
      <c r="R43" s="247">
        <f t="shared" ref="R43:AD43" si="83">+R25+R37</f>
        <v>2982928.6790654943</v>
      </c>
      <c r="S43" s="247">
        <f t="shared" si="83"/>
        <v>2982928.6790654943</v>
      </c>
      <c r="T43" s="247">
        <f t="shared" si="83"/>
        <v>2982928.6790654943</v>
      </c>
      <c r="U43" s="247">
        <f t="shared" si="83"/>
        <v>2982928.6790654943</v>
      </c>
      <c r="V43" s="247">
        <f t="shared" si="83"/>
        <v>2982928.6790654943</v>
      </c>
      <c r="W43" s="247">
        <f t="shared" si="83"/>
        <v>2982928.6790654943</v>
      </c>
      <c r="X43" s="247">
        <f t="shared" si="83"/>
        <v>2982928.6790654943</v>
      </c>
      <c r="Y43" s="247">
        <f t="shared" si="83"/>
        <v>2982928.6790654943</v>
      </c>
      <c r="Z43" s="247">
        <f t="shared" si="83"/>
        <v>2982928.6790654943</v>
      </c>
      <c r="AA43" s="247">
        <f t="shared" si="83"/>
        <v>2982928.6790654943</v>
      </c>
      <c r="AB43" s="247">
        <f t="shared" si="83"/>
        <v>2982928.6790654943</v>
      </c>
      <c r="AC43" s="247">
        <f t="shared" si="83"/>
        <v>2982928.6790654943</v>
      </c>
      <c r="AD43" s="247">
        <f t="shared" si="83"/>
        <v>2982928.6790654943</v>
      </c>
      <c r="AE43" s="247">
        <f>AE25+AE37</f>
        <v>0</v>
      </c>
      <c r="AF43" s="247"/>
      <c r="AG43" s="247"/>
      <c r="AH43" s="247"/>
      <c r="AI43" s="247"/>
    </row>
    <row r="44" spans="1:35" ht="5.25" customHeight="1" x14ac:dyDescent="0.25">
      <c r="A44" s="14"/>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row>
    <row r="45" spans="1:35" ht="5.25" customHeight="1" x14ac:dyDescent="0.25"/>
    <row r="46" spans="1:35" x14ac:dyDescent="0.25">
      <c r="A46" s="22" t="str">
        <f>note</f>
        <v>Notes and Sources:</v>
      </c>
    </row>
    <row r="47" spans="1:35" ht="65.25" customHeight="1" x14ac:dyDescent="0.25">
      <c r="A47" s="85">
        <v>1</v>
      </c>
      <c r="B47" s="87" t="str">
        <f>"Unless otherwise stated, source of shaded cells is company input/records. Lines "&amp;A13&amp;" through "&amp;A20&amp;" and "&amp;A28&amp;" through "&amp;A32&amp;" represent adjustable lines that may be expanded/compressed on an annual basis to provide for a sufficient breakout of excess and deficient deferred income tax items."</f>
        <v>Unless otherwise stated, source of shaded cells is company input/records. Lines 1a through 1zz and 5a through 5zz represent adjustable lines that may be expanded/compressed on an annual basis to provide for a sufficient breakout of excess and deficient deferred income tax items.</v>
      </c>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row>
    <row r="48" spans="1:35" ht="47.25" x14ac:dyDescent="0.25">
      <c r="A48" s="85">
        <v>2</v>
      </c>
      <c r="B48" s="87" t="str">
        <f>"Enter 'Yes' or 'No.' Only plant-related ADIT balances are subject to prorationing. Values on lines "&amp;A23&amp;", "&amp;A25&amp;", "&amp;A35&amp;", "&amp;A37&amp;", "&amp;A41&amp;", and "&amp;A43&amp;" will populate automatically based on the inputs to column "&amp;AF9&amp;"."</f>
        <v>Enter 'Yes' or 'No.' Only plant-related ADIT balances are subject to prorationing. Values on lines 3, 4, 7, 8, 10, and 11 will populate automatically based on the inputs to column [ee].</v>
      </c>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row>
    <row r="49" spans="1:35" ht="47.25" x14ac:dyDescent="0.25">
      <c r="A49" s="85">
        <v>3</v>
      </c>
      <c r="B49" s="87" t="str">
        <f>"Only network allocator codes listed on "&amp;'A22 (Allocation Factors)'!F1&amp;" may be inputed. Only deferred taxes related to rate base, construction, or other costs and revenues affecting jurisdictional cost-of-service may be included as rate base reductions/additions."</f>
        <v>Only network allocator codes listed on Worksheet A22 may be inputed. Only deferred taxes related to rate base, construction, or other costs and revenues affecting jurisdictional cost-of-service may be included as rate base reductions/additions.</v>
      </c>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row>
    <row r="50" spans="1:35" ht="31.5" x14ac:dyDescent="0.25">
      <c r="A50" s="85">
        <v>4</v>
      </c>
      <c r="B50" s="87" t="s">
        <v>905</v>
      </c>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row>
    <row r="51" spans="1:35" ht="5.25" customHeight="1" thickBot="1" x14ac:dyDescent="0.3">
      <c r="A51" s="2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row>
    <row r="52" spans="1:35" ht="5.25" customHeight="1" thickTop="1" x14ac:dyDescent="0.25"/>
  </sheetData>
  <mergeCells count="12">
    <mergeCell ref="A7:A9"/>
    <mergeCell ref="B7:B8"/>
    <mergeCell ref="P7:Q7"/>
    <mergeCell ref="AF7:AF8"/>
    <mergeCell ref="AI7:AI8"/>
    <mergeCell ref="AH7:AH8"/>
    <mergeCell ref="AE7:AE8"/>
    <mergeCell ref="AG7:AG8"/>
    <mergeCell ref="C7:J7"/>
    <mergeCell ref="K7:O7"/>
    <mergeCell ref="R7:X7"/>
    <mergeCell ref="Y7:AD7"/>
  </mergeCells>
  <pageMargins left="0.7" right="0.7" top="0.75" bottom="0.75" header="0.3" footer="0.3"/>
  <pageSetup scale="54" fitToWidth="0" orientation="landscape" horizontalDpi="1200" verticalDpi="1200" r:id="rId1"/>
  <headerFooter>
    <oddFooter>&amp;L&amp;6{W0327924.2 }</oddFooter>
  </headerFooter>
  <colBreaks count="4" manualBreakCount="4">
    <brk id="9" max="50" man="1"/>
    <brk id="17" max="50" man="1"/>
    <brk id="24" max="50" man="1"/>
    <brk id="31" max="50"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E44"/>
  <sheetViews>
    <sheetView workbookViewId="0"/>
  </sheetViews>
  <sheetFormatPr defaultRowHeight="15.75" x14ac:dyDescent="0.25"/>
  <cols>
    <col min="1" max="1" width="4.25" style="1" customWidth="1"/>
    <col min="2" max="2" width="10.25" customWidth="1"/>
    <col min="3" max="3" width="59.75" customWidth="1"/>
    <col min="4" max="4" width="10.625" customWidth="1"/>
    <col min="5" max="5" width="10.75" customWidth="1"/>
    <col min="6" max="6" width="12.75" customWidth="1"/>
    <col min="7" max="7" width="10.625" customWidth="1"/>
    <col min="8" max="8" width="14.125" customWidth="1"/>
    <col min="9" max="9" width="14" customWidth="1"/>
    <col min="10" max="10" width="14.75" customWidth="1"/>
    <col min="11" max="11" width="14" customWidth="1"/>
    <col min="12" max="12" width="6.25" customWidth="1"/>
    <col min="14" max="14" width="15.25" customWidth="1"/>
    <col min="15" max="27" width="10.625" customWidth="1"/>
    <col min="28" max="29" width="15.25" customWidth="1"/>
    <col min="30" max="30" width="15.75" customWidth="1"/>
    <col min="31" max="31" width="28.75" customWidth="1"/>
  </cols>
  <sheetData>
    <row r="1" spans="1:31" x14ac:dyDescent="0.25">
      <c r="A1" s="6" t="str">
        <f>epe</f>
        <v>El Paso Electric Company</v>
      </c>
      <c r="G1" s="8" t="str">
        <f>$AE$1</f>
        <v>Worksheet A10</v>
      </c>
      <c r="N1" s="8" t="str">
        <f>$AE$1</f>
        <v>Worksheet A10</v>
      </c>
      <c r="U1" s="8" t="str">
        <f>$AE$1</f>
        <v>Worksheet A10</v>
      </c>
      <c r="AB1" s="8" t="str">
        <f>$AE$1</f>
        <v>Worksheet A10</v>
      </c>
      <c r="AE1" s="8" t="s">
        <v>279</v>
      </c>
    </row>
    <row r="2" spans="1:31" x14ac:dyDescent="0.25">
      <c r="A2" t="str">
        <f>frta</f>
        <v>Formula Rate Template (Actuals)</v>
      </c>
      <c r="G2" s="8"/>
      <c r="N2" s="8"/>
      <c r="U2" s="8"/>
      <c r="AB2" s="8"/>
      <c r="AE2" s="8"/>
    </row>
    <row r="3" spans="1:31" x14ac:dyDescent="0.25">
      <c r="A3" t="s">
        <v>383</v>
      </c>
    </row>
    <row r="4" spans="1:31" x14ac:dyDescent="0.25">
      <c r="A4" t="str">
        <f>"12 Months Ended December 31, "&amp;YEAR('A1 (FF1 Inputs)'!$E$12)</f>
        <v>12 Months Ended December 31, 2020</v>
      </c>
    </row>
    <row r="5" spans="1:31"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1:31" ht="5.25" customHeight="1" thickTop="1" x14ac:dyDescent="0.25">
      <c r="A6"/>
    </row>
    <row r="7" spans="1:31" s="3" customFormat="1" ht="15.75" customHeight="1" x14ac:dyDescent="0.25">
      <c r="A7" s="266" t="str">
        <f>ln</f>
        <v>Line No.</v>
      </c>
      <c r="B7" s="266" t="s">
        <v>672</v>
      </c>
      <c r="C7" s="266" t="s">
        <v>2</v>
      </c>
      <c r="D7" s="275" t="s">
        <v>384</v>
      </c>
      <c r="E7" s="282" t="s">
        <v>385</v>
      </c>
      <c r="F7" s="266" t="s">
        <v>673</v>
      </c>
      <c r="G7" s="282" t="s">
        <v>386</v>
      </c>
      <c r="H7" s="282" t="s">
        <v>387</v>
      </c>
      <c r="I7" s="282" t="s">
        <v>388</v>
      </c>
      <c r="J7" s="282" t="s">
        <v>389</v>
      </c>
      <c r="K7" s="283" t="s">
        <v>674</v>
      </c>
      <c r="L7" s="268" t="s">
        <v>393</v>
      </c>
      <c r="M7" s="268"/>
      <c r="N7" s="282" t="s">
        <v>391</v>
      </c>
      <c r="O7" s="270" t="s">
        <v>394</v>
      </c>
      <c r="P7" s="270"/>
      <c r="Q7" s="270"/>
      <c r="R7" s="270"/>
      <c r="S7" s="270"/>
      <c r="T7" s="270"/>
      <c r="U7" s="270"/>
      <c r="V7" s="270" t="str">
        <f>O7</f>
        <v>UNAMORTIZED BALANCES</v>
      </c>
      <c r="W7" s="270"/>
      <c r="X7" s="270"/>
      <c r="Y7" s="270"/>
      <c r="Z7" s="270"/>
      <c r="AA7" s="270"/>
      <c r="AB7" s="275" t="s">
        <v>408</v>
      </c>
      <c r="AC7" s="283" t="s">
        <v>675</v>
      </c>
      <c r="AD7" s="282" t="s">
        <v>409</v>
      </c>
      <c r="AE7" s="266" t="s">
        <v>676</v>
      </c>
    </row>
    <row r="8" spans="1:31" s="3" customFormat="1" x14ac:dyDescent="0.25">
      <c r="A8" s="266"/>
      <c r="B8" s="266"/>
      <c r="C8" s="266"/>
      <c r="D8" s="275"/>
      <c r="E8" s="282"/>
      <c r="F8" s="266"/>
      <c r="G8" s="282"/>
      <c r="H8" s="282"/>
      <c r="I8" s="282"/>
      <c r="J8" s="282"/>
      <c r="K8" s="283"/>
      <c r="L8" s="3" t="s">
        <v>5</v>
      </c>
      <c r="M8" s="3" t="s">
        <v>6</v>
      </c>
      <c r="N8" s="282"/>
      <c r="O8" s="3" t="str">
        <f>"Dec-"&amp;YEAR('A1 (FF1 Inputs)'!$E$12)-1</f>
        <v>Dec-2019</v>
      </c>
      <c r="P8" s="3" t="str">
        <f>"Jan-"&amp;YEAR('A1 (FF1 Inputs)'!$E$12)</f>
        <v>Jan-2020</v>
      </c>
      <c r="Q8" s="3" t="str">
        <f>"Feb-"&amp;YEAR('A1 (FF1 Inputs)'!$E$12)</f>
        <v>Feb-2020</v>
      </c>
      <c r="R8" s="3" t="str">
        <f>"Mar-"&amp;YEAR('A1 (FF1 Inputs)'!$E$12)</f>
        <v>Mar-2020</v>
      </c>
      <c r="S8" s="3" t="str">
        <f>"Apr-"&amp;YEAR('A1 (FF1 Inputs)'!$E$12)</f>
        <v>Apr-2020</v>
      </c>
      <c r="T8" s="3" t="str">
        <f>"May-"&amp;YEAR('A1 (FF1 Inputs)'!$E$12)</f>
        <v>May-2020</v>
      </c>
      <c r="U8" s="3" t="str">
        <f>"Jun-"&amp;YEAR('A1 (FF1 Inputs)'!$E$12)</f>
        <v>Jun-2020</v>
      </c>
      <c r="V8" s="3" t="str">
        <f>"Jul-"&amp;YEAR('A1 (FF1 Inputs)'!$E$12)</f>
        <v>Jul-2020</v>
      </c>
      <c r="W8" s="3" t="str">
        <f>"Aug-"&amp;YEAR('A1 (FF1 Inputs)'!$E$12)</f>
        <v>Aug-2020</v>
      </c>
      <c r="X8" s="3" t="str">
        <f>"Sep-"&amp;YEAR('A1 (FF1 Inputs)'!$E$12)</f>
        <v>Sep-2020</v>
      </c>
      <c r="Y8" s="3" t="str">
        <f>"Oct-"&amp;YEAR('A1 (FF1 Inputs)'!$E$12)</f>
        <v>Oct-2020</v>
      </c>
      <c r="Z8" s="3" t="str">
        <f>"Nov-"&amp;YEAR('A1 (FF1 Inputs)'!$E$12)</f>
        <v>Nov-2020</v>
      </c>
      <c r="AA8" s="3" t="str">
        <f>"Dec-"&amp;YEAR('A1 (FF1 Inputs)'!$E$12)</f>
        <v>Dec-2020</v>
      </c>
      <c r="AB8" s="275"/>
      <c r="AC8" s="283"/>
      <c r="AD8" s="282"/>
      <c r="AE8" s="266"/>
    </row>
    <row r="9" spans="1:31" s="1" customFormat="1" ht="31.5" x14ac:dyDescent="0.25">
      <c r="A9" s="266"/>
      <c r="B9" s="2" t="s">
        <v>7</v>
      </c>
      <c r="C9" s="2" t="s">
        <v>8</v>
      </c>
      <c r="D9" s="2" t="s">
        <v>9</v>
      </c>
      <c r="E9" s="2" t="s">
        <v>10</v>
      </c>
      <c r="F9" s="2" t="s">
        <v>11</v>
      </c>
      <c r="G9" s="2" t="s">
        <v>12</v>
      </c>
      <c r="H9" s="2" t="s">
        <v>416</v>
      </c>
      <c r="I9" s="84" t="s">
        <v>418</v>
      </c>
      <c r="J9" s="2" t="s">
        <v>423</v>
      </c>
      <c r="K9" s="2" t="s">
        <v>94</v>
      </c>
      <c r="L9" s="2" t="s">
        <v>95</v>
      </c>
      <c r="M9" s="2" t="s">
        <v>307</v>
      </c>
      <c r="N9" s="2" t="s">
        <v>417</v>
      </c>
      <c r="O9" s="2" t="s">
        <v>395</v>
      </c>
      <c r="P9" s="2" t="s">
        <v>396</v>
      </c>
      <c r="Q9" s="2" t="s">
        <v>397</v>
      </c>
      <c r="R9" s="2" t="s">
        <v>398</v>
      </c>
      <c r="S9" s="2" t="s">
        <v>399</v>
      </c>
      <c r="T9" s="2" t="s">
        <v>400</v>
      </c>
      <c r="U9" s="2" t="s">
        <v>401</v>
      </c>
      <c r="V9" s="2" t="s">
        <v>402</v>
      </c>
      <c r="W9" s="2" t="s">
        <v>403</v>
      </c>
      <c r="X9" s="2" t="s">
        <v>404</v>
      </c>
      <c r="Y9" s="2" t="s">
        <v>405</v>
      </c>
      <c r="Z9" s="2" t="s">
        <v>406</v>
      </c>
      <c r="AA9" s="2" t="s">
        <v>407</v>
      </c>
      <c r="AB9" s="3" t="s">
        <v>419</v>
      </c>
      <c r="AC9" s="2" t="s">
        <v>410</v>
      </c>
      <c r="AD9" s="2" t="s">
        <v>669</v>
      </c>
      <c r="AE9" s="2" t="s">
        <v>636</v>
      </c>
    </row>
    <row r="10" spans="1:31"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row>
    <row r="11" spans="1:31" ht="5.25" customHeight="1" x14ac:dyDescent="0.25">
      <c r="A11"/>
    </row>
    <row r="12" spans="1:31" x14ac:dyDescent="0.25">
      <c r="A12" s="31" t="s">
        <v>411</v>
      </c>
      <c r="B12" s="32" t="s">
        <v>414</v>
      </c>
      <c r="C12" s="32" t="s">
        <v>357</v>
      </c>
      <c r="D12" s="31" t="s">
        <v>357</v>
      </c>
      <c r="E12" s="31" t="s">
        <v>357</v>
      </c>
      <c r="F12" s="37">
        <v>0</v>
      </c>
      <c r="G12" s="31">
        <v>0</v>
      </c>
      <c r="H12" s="41">
        <f>IFERROR(F12/G12,0)</f>
        <v>0</v>
      </c>
      <c r="I12" s="44">
        <f>IFERROR(IF(O12/H12&lt;12,O12/H12,12),0)</f>
        <v>0</v>
      </c>
      <c r="J12" s="41">
        <f>H12*I12</f>
        <v>0</v>
      </c>
      <c r="K12" s="43">
        <v>0</v>
      </c>
      <c r="L12" s="31" t="s">
        <v>357</v>
      </c>
      <c r="M12" s="45">
        <f>IFERROR(VLOOKUP(L12,'A22 (Allocation Factors)'!$D:$F,3,0),0)</f>
        <v>0</v>
      </c>
      <c r="N12" s="41">
        <f>J12*K12*M12</f>
        <v>0</v>
      </c>
      <c r="O12" s="37">
        <v>0</v>
      </c>
      <c r="P12" s="37">
        <v>0</v>
      </c>
      <c r="Q12" s="37">
        <v>0</v>
      </c>
      <c r="R12" s="37">
        <v>0</v>
      </c>
      <c r="S12" s="37">
        <v>0</v>
      </c>
      <c r="T12" s="37">
        <v>0</v>
      </c>
      <c r="U12" s="37">
        <v>0</v>
      </c>
      <c r="V12" s="37">
        <v>0</v>
      </c>
      <c r="W12" s="37">
        <v>0</v>
      </c>
      <c r="X12" s="37">
        <v>0</v>
      </c>
      <c r="Y12" s="37">
        <v>0</v>
      </c>
      <c r="Z12" s="37">
        <v>0</v>
      </c>
      <c r="AA12" s="37">
        <v>0</v>
      </c>
      <c r="AB12" s="41">
        <f>AVERAGE(O12:AA12)</f>
        <v>0</v>
      </c>
      <c r="AC12" s="43">
        <v>0</v>
      </c>
      <c r="AD12" s="41">
        <f>AB12*M12*AC12</f>
        <v>0</v>
      </c>
      <c r="AE12" s="46" t="s">
        <v>357</v>
      </c>
    </row>
    <row r="13" spans="1:31" x14ac:dyDescent="0.25">
      <c r="A13" s="31" t="s">
        <v>412</v>
      </c>
      <c r="B13" s="32" t="s">
        <v>415</v>
      </c>
      <c r="C13" s="32" t="s">
        <v>357</v>
      </c>
      <c r="D13" s="31" t="s">
        <v>357</v>
      </c>
      <c r="E13" s="31" t="s">
        <v>357</v>
      </c>
      <c r="F13" s="37">
        <v>0</v>
      </c>
      <c r="G13" s="31">
        <v>0</v>
      </c>
      <c r="H13" s="41">
        <f t="shared" ref="H13:H18" si="0">IFERROR(F13/G13,0)</f>
        <v>0</v>
      </c>
      <c r="I13" s="44">
        <f t="shared" ref="I13:I18" si="1">IFERROR(IF(O13/H13&lt;12,O13/H13,12),0)</f>
        <v>0</v>
      </c>
      <c r="J13" s="41">
        <f t="shared" ref="J13:J15" si="2">H13*I13</f>
        <v>0</v>
      </c>
      <c r="K13" s="43">
        <v>0</v>
      </c>
      <c r="L13" s="31" t="s">
        <v>357</v>
      </c>
      <c r="M13" s="45">
        <f>IFERROR(VLOOKUP(L13,'A22 (Allocation Factors)'!$D:$F,3,0),0)</f>
        <v>0</v>
      </c>
      <c r="N13" s="41">
        <f t="shared" ref="N13:N18" si="3">J13*K13*M13</f>
        <v>0</v>
      </c>
      <c r="O13" s="37">
        <v>0</v>
      </c>
      <c r="P13" s="37">
        <v>0</v>
      </c>
      <c r="Q13" s="37">
        <v>0</v>
      </c>
      <c r="R13" s="37">
        <v>0</v>
      </c>
      <c r="S13" s="37">
        <v>0</v>
      </c>
      <c r="T13" s="37">
        <v>0</v>
      </c>
      <c r="U13" s="37">
        <v>0</v>
      </c>
      <c r="V13" s="37">
        <v>0</v>
      </c>
      <c r="W13" s="37">
        <v>0</v>
      </c>
      <c r="X13" s="37">
        <v>0</v>
      </c>
      <c r="Y13" s="37">
        <v>0</v>
      </c>
      <c r="Z13" s="37">
        <v>0</v>
      </c>
      <c r="AA13" s="37">
        <v>0</v>
      </c>
      <c r="AB13" s="41">
        <f t="shared" ref="AB13:AB18" si="4">AVERAGE(O13:AA13)</f>
        <v>0</v>
      </c>
      <c r="AC13" s="43">
        <v>0</v>
      </c>
      <c r="AD13" s="41">
        <f>AB13*M13*AC13</f>
        <v>0</v>
      </c>
      <c r="AE13" s="46" t="s">
        <v>357</v>
      </c>
    </row>
    <row r="14" spans="1:31" x14ac:dyDescent="0.25">
      <c r="A14" s="31" t="s">
        <v>413</v>
      </c>
      <c r="B14" s="32" t="s">
        <v>414</v>
      </c>
      <c r="C14" s="32" t="s">
        <v>357</v>
      </c>
      <c r="D14" s="31" t="s">
        <v>357</v>
      </c>
      <c r="E14" s="31" t="s">
        <v>357</v>
      </c>
      <c r="F14" s="37">
        <v>0</v>
      </c>
      <c r="G14" s="31">
        <v>0</v>
      </c>
      <c r="H14" s="41">
        <f t="shared" si="0"/>
        <v>0</v>
      </c>
      <c r="I14" s="44">
        <f t="shared" si="1"/>
        <v>0</v>
      </c>
      <c r="J14" s="41">
        <f t="shared" si="2"/>
        <v>0</v>
      </c>
      <c r="K14" s="43">
        <v>0</v>
      </c>
      <c r="L14" s="31" t="s">
        <v>357</v>
      </c>
      <c r="M14" s="45">
        <f>IFERROR(VLOOKUP(L14,'A22 (Allocation Factors)'!$D:$F,3,0),0)</f>
        <v>0</v>
      </c>
      <c r="N14" s="41">
        <f t="shared" si="3"/>
        <v>0</v>
      </c>
      <c r="O14" s="37">
        <v>0</v>
      </c>
      <c r="P14" s="37">
        <v>0</v>
      </c>
      <c r="Q14" s="37">
        <v>0</v>
      </c>
      <c r="R14" s="37">
        <v>0</v>
      </c>
      <c r="S14" s="37">
        <v>0</v>
      </c>
      <c r="T14" s="37">
        <v>0</v>
      </c>
      <c r="U14" s="37">
        <v>0</v>
      </c>
      <c r="V14" s="37">
        <v>0</v>
      </c>
      <c r="W14" s="37">
        <v>0</v>
      </c>
      <c r="X14" s="37">
        <v>0</v>
      </c>
      <c r="Y14" s="37">
        <v>0</v>
      </c>
      <c r="Z14" s="37">
        <v>0</v>
      </c>
      <c r="AA14" s="37">
        <v>0</v>
      </c>
      <c r="AB14" s="41">
        <f t="shared" si="4"/>
        <v>0</v>
      </c>
      <c r="AC14" s="43">
        <v>0</v>
      </c>
      <c r="AD14" s="41">
        <f t="shared" ref="AD14:AD18" si="5">AB14*M14*AC14</f>
        <v>0</v>
      </c>
      <c r="AE14" s="46" t="s">
        <v>357</v>
      </c>
    </row>
    <row r="15" spans="1:31" x14ac:dyDescent="0.25">
      <c r="A15" s="31" t="s">
        <v>357</v>
      </c>
      <c r="B15" s="32" t="s">
        <v>357</v>
      </c>
      <c r="C15" s="32" t="s">
        <v>357</v>
      </c>
      <c r="D15" s="31" t="s">
        <v>357</v>
      </c>
      <c r="E15" s="31" t="s">
        <v>357</v>
      </c>
      <c r="F15" s="37">
        <v>0</v>
      </c>
      <c r="G15" s="31">
        <v>0</v>
      </c>
      <c r="H15" s="41">
        <f t="shared" si="0"/>
        <v>0</v>
      </c>
      <c r="I15" s="44">
        <f t="shared" si="1"/>
        <v>0</v>
      </c>
      <c r="J15" s="41">
        <f t="shared" si="2"/>
        <v>0</v>
      </c>
      <c r="K15" s="43">
        <v>0</v>
      </c>
      <c r="L15" s="31" t="s">
        <v>357</v>
      </c>
      <c r="M15" s="45">
        <f>IFERROR(VLOOKUP(L15,'A22 (Allocation Factors)'!$D:$F,3,0),0)</f>
        <v>0</v>
      </c>
      <c r="N15" s="41">
        <f t="shared" si="3"/>
        <v>0</v>
      </c>
      <c r="O15" s="37">
        <v>0</v>
      </c>
      <c r="P15" s="37">
        <v>0</v>
      </c>
      <c r="Q15" s="37">
        <v>0</v>
      </c>
      <c r="R15" s="37">
        <v>0</v>
      </c>
      <c r="S15" s="37">
        <v>0</v>
      </c>
      <c r="T15" s="37">
        <v>0</v>
      </c>
      <c r="U15" s="37">
        <v>0</v>
      </c>
      <c r="V15" s="37">
        <v>0</v>
      </c>
      <c r="W15" s="37">
        <v>0</v>
      </c>
      <c r="X15" s="37">
        <v>0</v>
      </c>
      <c r="Y15" s="37">
        <v>0</v>
      </c>
      <c r="Z15" s="37">
        <v>0</v>
      </c>
      <c r="AA15" s="37">
        <v>0</v>
      </c>
      <c r="AB15" s="41">
        <f t="shared" si="4"/>
        <v>0</v>
      </c>
      <c r="AC15" s="43">
        <v>0</v>
      </c>
      <c r="AD15" s="41">
        <f t="shared" si="5"/>
        <v>0</v>
      </c>
      <c r="AE15" s="46" t="s">
        <v>357</v>
      </c>
    </row>
    <row r="16" spans="1:31" x14ac:dyDescent="0.25">
      <c r="A16" s="31" t="s">
        <v>357</v>
      </c>
      <c r="B16" s="32" t="s">
        <v>357</v>
      </c>
      <c r="C16" s="32" t="s">
        <v>357</v>
      </c>
      <c r="D16" s="31" t="s">
        <v>357</v>
      </c>
      <c r="E16" s="31" t="s">
        <v>357</v>
      </c>
      <c r="F16" s="37">
        <v>0</v>
      </c>
      <c r="G16" s="31">
        <v>0</v>
      </c>
      <c r="H16" s="41">
        <f t="shared" si="0"/>
        <v>0</v>
      </c>
      <c r="I16" s="44">
        <f t="shared" si="1"/>
        <v>0</v>
      </c>
      <c r="J16" s="41">
        <f>H16*I16</f>
        <v>0</v>
      </c>
      <c r="K16" s="43">
        <v>0</v>
      </c>
      <c r="L16" s="31" t="s">
        <v>357</v>
      </c>
      <c r="M16" s="45">
        <f>IFERROR(VLOOKUP(L16,'A22 (Allocation Factors)'!$D:$F,3,0),0)</f>
        <v>0</v>
      </c>
      <c r="N16" s="41">
        <f t="shared" si="3"/>
        <v>0</v>
      </c>
      <c r="O16" s="37">
        <v>0</v>
      </c>
      <c r="P16" s="37">
        <v>0</v>
      </c>
      <c r="Q16" s="37">
        <v>0</v>
      </c>
      <c r="R16" s="37">
        <v>0</v>
      </c>
      <c r="S16" s="37">
        <v>0</v>
      </c>
      <c r="T16" s="37">
        <v>0</v>
      </c>
      <c r="U16" s="37">
        <v>0</v>
      </c>
      <c r="V16" s="37">
        <v>0</v>
      </c>
      <c r="W16" s="37">
        <v>0</v>
      </c>
      <c r="X16" s="37">
        <v>0</v>
      </c>
      <c r="Y16" s="37">
        <v>0</v>
      </c>
      <c r="Z16" s="37">
        <v>0</v>
      </c>
      <c r="AA16" s="37">
        <v>0</v>
      </c>
      <c r="AB16" s="41">
        <f t="shared" si="4"/>
        <v>0</v>
      </c>
      <c r="AC16" s="43">
        <v>0</v>
      </c>
      <c r="AD16" s="41">
        <f t="shared" si="5"/>
        <v>0</v>
      </c>
      <c r="AE16" s="46" t="s">
        <v>357</v>
      </c>
    </row>
    <row r="17" spans="1:31" x14ac:dyDescent="0.25">
      <c r="A17" s="31" t="s">
        <v>357</v>
      </c>
      <c r="B17" s="32" t="s">
        <v>357</v>
      </c>
      <c r="C17" s="32" t="s">
        <v>357</v>
      </c>
      <c r="D17" s="31" t="s">
        <v>357</v>
      </c>
      <c r="E17" s="31" t="s">
        <v>357</v>
      </c>
      <c r="F17" s="37">
        <v>0</v>
      </c>
      <c r="G17" s="31">
        <v>0</v>
      </c>
      <c r="H17" s="41">
        <f t="shared" si="0"/>
        <v>0</v>
      </c>
      <c r="I17" s="44">
        <f t="shared" si="1"/>
        <v>0</v>
      </c>
      <c r="J17" s="41">
        <f t="shared" ref="J17:J18" si="6">H17*I17</f>
        <v>0</v>
      </c>
      <c r="K17" s="43">
        <v>0</v>
      </c>
      <c r="L17" s="31" t="s">
        <v>357</v>
      </c>
      <c r="M17" s="45">
        <f>IFERROR(VLOOKUP(L17,'A22 (Allocation Factors)'!$D:$F,3,0),0)</f>
        <v>0</v>
      </c>
      <c r="N17" s="41">
        <f t="shared" si="3"/>
        <v>0</v>
      </c>
      <c r="O17" s="37">
        <v>0</v>
      </c>
      <c r="P17" s="37">
        <v>0</v>
      </c>
      <c r="Q17" s="37">
        <v>0</v>
      </c>
      <c r="R17" s="37">
        <v>0</v>
      </c>
      <c r="S17" s="37">
        <v>0</v>
      </c>
      <c r="T17" s="37">
        <v>0</v>
      </c>
      <c r="U17" s="37">
        <v>0</v>
      </c>
      <c r="V17" s="37">
        <v>0</v>
      </c>
      <c r="W17" s="37">
        <v>0</v>
      </c>
      <c r="X17" s="37">
        <v>0</v>
      </c>
      <c r="Y17" s="37">
        <v>0</v>
      </c>
      <c r="Z17" s="37">
        <v>0</v>
      </c>
      <c r="AA17" s="37">
        <v>0</v>
      </c>
      <c r="AB17" s="41">
        <f t="shared" si="4"/>
        <v>0</v>
      </c>
      <c r="AC17" s="43">
        <v>0</v>
      </c>
      <c r="AD17" s="41">
        <f t="shared" si="5"/>
        <v>0</v>
      </c>
      <c r="AE17" s="46" t="s">
        <v>357</v>
      </c>
    </row>
    <row r="18" spans="1:31" x14ac:dyDescent="0.25">
      <c r="A18" s="1" t="s">
        <v>478</v>
      </c>
      <c r="B18" s="104" t="s">
        <v>357</v>
      </c>
      <c r="C18" s="104" t="s">
        <v>357</v>
      </c>
      <c r="D18" s="73" t="s">
        <v>357</v>
      </c>
      <c r="E18" s="73" t="s">
        <v>357</v>
      </c>
      <c r="F18" s="20">
        <v>0</v>
      </c>
      <c r="G18" s="73">
        <v>0</v>
      </c>
      <c r="H18" s="10">
        <f t="shared" si="0"/>
        <v>0</v>
      </c>
      <c r="I18" s="25">
        <f t="shared" si="1"/>
        <v>0</v>
      </c>
      <c r="J18" s="10">
        <f t="shared" si="6"/>
        <v>0</v>
      </c>
      <c r="K18" s="105">
        <v>0</v>
      </c>
      <c r="L18" s="73" t="s">
        <v>357</v>
      </c>
      <c r="M18" s="74">
        <f>IFERROR(VLOOKUP(L18,'A22 (Allocation Factors)'!$D:$F,3,0),0)</f>
        <v>0</v>
      </c>
      <c r="N18" s="10">
        <f t="shared" si="3"/>
        <v>0</v>
      </c>
      <c r="O18" s="20">
        <v>0</v>
      </c>
      <c r="P18" s="20">
        <v>0</v>
      </c>
      <c r="Q18" s="20">
        <v>0</v>
      </c>
      <c r="R18" s="20">
        <v>0</v>
      </c>
      <c r="S18" s="20">
        <v>0</v>
      </c>
      <c r="T18" s="20">
        <v>0</v>
      </c>
      <c r="U18" s="20">
        <v>0</v>
      </c>
      <c r="V18" s="20">
        <v>0</v>
      </c>
      <c r="W18" s="20">
        <v>0</v>
      </c>
      <c r="X18" s="20">
        <v>0</v>
      </c>
      <c r="Y18" s="20">
        <v>0</v>
      </c>
      <c r="Z18" s="20">
        <v>0</v>
      </c>
      <c r="AA18" s="20">
        <v>0</v>
      </c>
      <c r="AB18" s="10">
        <f t="shared" si="4"/>
        <v>0</v>
      </c>
      <c r="AC18" s="105">
        <v>0</v>
      </c>
      <c r="AD18" s="10">
        <f t="shared" si="5"/>
        <v>0</v>
      </c>
      <c r="AE18" s="48" t="s">
        <v>357</v>
      </c>
    </row>
    <row r="19" spans="1:31" s="6" customFormat="1" x14ac:dyDescent="0.25">
      <c r="A19" s="88">
        <v>2</v>
      </c>
      <c r="B19" s="89" t="str">
        <f>"Total Regulatory Assets and Liabilities (Sum Lns. ("&amp;A12&amp;" through "&amp;A18&amp;"))"</f>
        <v>Total Regulatory Assets and Liabilities (Sum Lns. (1a through 1zz))</v>
      </c>
      <c r="C19" s="89"/>
      <c r="D19" s="89"/>
      <c r="E19" s="89"/>
      <c r="F19" s="90">
        <f>SUM(F12:F18)</f>
        <v>0</v>
      </c>
      <c r="G19" s="89"/>
      <c r="H19" s="90">
        <f>SUM(H12:H18)</f>
        <v>0</v>
      </c>
      <c r="I19" s="89"/>
      <c r="J19" s="90">
        <f>SUM(J12:J18)</f>
        <v>0</v>
      </c>
      <c r="K19" s="89"/>
      <c r="L19" s="89"/>
      <c r="M19" s="89"/>
      <c r="N19" s="90">
        <f>SUM(N12:N18)</f>
        <v>0</v>
      </c>
      <c r="O19" s="90">
        <f t="shared" ref="O19:AD19" si="7">SUM(O12:O18)</f>
        <v>0</v>
      </c>
      <c r="P19" s="90">
        <f t="shared" si="7"/>
        <v>0</v>
      </c>
      <c r="Q19" s="90">
        <f t="shared" si="7"/>
        <v>0</v>
      </c>
      <c r="R19" s="90">
        <f t="shared" si="7"/>
        <v>0</v>
      </c>
      <c r="S19" s="90">
        <f t="shared" si="7"/>
        <v>0</v>
      </c>
      <c r="T19" s="90">
        <f t="shared" si="7"/>
        <v>0</v>
      </c>
      <c r="U19" s="90">
        <f t="shared" si="7"/>
        <v>0</v>
      </c>
      <c r="V19" s="90">
        <f t="shared" si="7"/>
        <v>0</v>
      </c>
      <c r="W19" s="90">
        <f t="shared" si="7"/>
        <v>0</v>
      </c>
      <c r="X19" s="90">
        <f t="shared" si="7"/>
        <v>0</v>
      </c>
      <c r="Y19" s="90">
        <f t="shared" si="7"/>
        <v>0</v>
      </c>
      <c r="Z19" s="90">
        <f t="shared" si="7"/>
        <v>0</v>
      </c>
      <c r="AA19" s="90">
        <f t="shared" si="7"/>
        <v>0</v>
      </c>
      <c r="AB19" s="90">
        <f t="shared" si="7"/>
        <v>0</v>
      </c>
      <c r="AC19" s="90"/>
      <c r="AD19" s="90">
        <f t="shared" si="7"/>
        <v>0</v>
      </c>
      <c r="AE19" s="89"/>
    </row>
    <row r="20" spans="1:31" ht="7.5" customHeight="1" x14ac:dyDescent="0.25"/>
    <row r="21" spans="1:31" x14ac:dyDescent="0.25">
      <c r="A21" s="1">
        <f>A19+1</f>
        <v>3</v>
      </c>
      <c r="B21" t="s">
        <v>420</v>
      </c>
      <c r="F21" s="10">
        <f>SUMIF($B$12:$B$18,"Asset",F$12:F$18)</f>
        <v>0</v>
      </c>
      <c r="H21" s="10">
        <f>SUMIF($B$12:$B$18,"Asset",H$12:H$18)</f>
        <v>0</v>
      </c>
      <c r="J21" s="10">
        <f>SUMIF($B$12:$B$18,"Asset",J$12:J$18)</f>
        <v>0</v>
      </c>
      <c r="N21" s="10">
        <f>SUMIF($B$12:$B$18,"Asset",N$12:N$18)</f>
        <v>0</v>
      </c>
      <c r="O21" s="10">
        <f t="shared" ref="O21:AA21" si="8">SUMIF($B$12:$B$18,"Asset",O$12:O$18)</f>
        <v>0</v>
      </c>
      <c r="P21" s="10">
        <f t="shared" si="8"/>
        <v>0</v>
      </c>
      <c r="Q21" s="10">
        <f t="shared" si="8"/>
        <v>0</v>
      </c>
      <c r="R21" s="10">
        <f t="shared" si="8"/>
        <v>0</v>
      </c>
      <c r="S21" s="10">
        <f t="shared" si="8"/>
        <v>0</v>
      </c>
      <c r="T21" s="10">
        <f t="shared" si="8"/>
        <v>0</v>
      </c>
      <c r="U21" s="10">
        <f t="shared" si="8"/>
        <v>0</v>
      </c>
      <c r="V21" s="10">
        <f t="shared" si="8"/>
        <v>0</v>
      </c>
      <c r="W21" s="10">
        <f t="shared" si="8"/>
        <v>0</v>
      </c>
      <c r="X21" s="10">
        <f t="shared" si="8"/>
        <v>0</v>
      </c>
      <c r="Y21" s="10">
        <f t="shared" si="8"/>
        <v>0</v>
      </c>
      <c r="Z21" s="10">
        <f t="shared" si="8"/>
        <v>0</v>
      </c>
      <c r="AA21" s="10">
        <f t="shared" si="8"/>
        <v>0</v>
      </c>
      <c r="AB21" s="10">
        <f>SUMIF($B$12:$B$18,"Asset",AB$12:AB$18)</f>
        <v>0</v>
      </c>
      <c r="AC21" s="10"/>
      <c r="AD21" s="10">
        <f>SUMIF($B$12:$B$18,"Asset",AD$12:AD$18)</f>
        <v>0</v>
      </c>
    </row>
    <row r="22" spans="1:31" ht="7.5" customHeight="1" x14ac:dyDescent="0.25"/>
    <row r="23" spans="1:31" x14ac:dyDescent="0.25">
      <c r="A23" s="1">
        <f>A21+1</f>
        <v>4</v>
      </c>
      <c r="B23" t="s">
        <v>421</v>
      </c>
      <c r="F23" s="10">
        <f>SUMIF($B$12:$B$18,"Liability",F$12:F$18)</f>
        <v>0</v>
      </c>
      <c r="H23" s="10">
        <f>SUMIF($B$12:$B$18,"Liability",H$12:H$18)</f>
        <v>0</v>
      </c>
      <c r="J23" s="10">
        <f>SUMIF($B$12:$B$18,"Liability",J$12:J$18)</f>
        <v>0</v>
      </c>
      <c r="N23" s="10">
        <f>SUMIF($B$12:$B$18,"Liability",N$12:N$18)</f>
        <v>0</v>
      </c>
      <c r="O23" s="10">
        <f t="shared" ref="O23:Z23" si="9">SUMIF($B$12:$B$18,"Liability",O$12:O$18)</f>
        <v>0</v>
      </c>
      <c r="P23" s="10">
        <f t="shared" si="9"/>
        <v>0</v>
      </c>
      <c r="Q23" s="10">
        <f t="shared" si="9"/>
        <v>0</v>
      </c>
      <c r="R23" s="10">
        <f t="shared" si="9"/>
        <v>0</v>
      </c>
      <c r="S23" s="10">
        <f t="shared" si="9"/>
        <v>0</v>
      </c>
      <c r="T23" s="10">
        <f t="shared" si="9"/>
        <v>0</v>
      </c>
      <c r="U23" s="10">
        <f t="shared" si="9"/>
        <v>0</v>
      </c>
      <c r="V23" s="10">
        <f t="shared" si="9"/>
        <v>0</v>
      </c>
      <c r="W23" s="10">
        <f t="shared" si="9"/>
        <v>0</v>
      </c>
      <c r="X23" s="10">
        <f t="shared" si="9"/>
        <v>0</v>
      </c>
      <c r="Y23" s="10">
        <f t="shared" si="9"/>
        <v>0</v>
      </c>
      <c r="Z23" s="10">
        <f t="shared" si="9"/>
        <v>0</v>
      </c>
      <c r="AA23" s="10">
        <f>SUMIF($B$12:$B$18,"Liability",AA$12:AA$18)</f>
        <v>0</v>
      </c>
      <c r="AB23" s="10">
        <f>SUMIF($B$12:$B$18,"Liability",AB$12:AB$18)</f>
        <v>0</v>
      </c>
      <c r="AC23" s="10"/>
      <c r="AD23" s="10">
        <f>SUMIF($B$12:$B$18,"Liability",AD$12:AD$18)</f>
        <v>0</v>
      </c>
    </row>
    <row r="24" spans="1:31" ht="5.25" customHeight="1" x14ac:dyDescent="0.25">
      <c r="A24" s="1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row>
    <row r="25" spans="1:31" ht="5.25" customHeight="1" x14ac:dyDescent="0.25"/>
    <row r="26" spans="1:31" x14ac:dyDescent="0.25">
      <c r="A26" s="22" t="str">
        <f>note</f>
        <v>Notes and Sources:</v>
      </c>
    </row>
    <row r="27" spans="1:31" ht="18.75" x14ac:dyDescent="0.25">
      <c r="A27" s="23">
        <v>1</v>
      </c>
      <c r="B27" s="274" t="str">
        <f>"Unless otherwise stated, source of shaded cells is company input/records. Lines "&amp;A12&amp;" through "&amp;A18&amp;" represent adjustable lines that may be expanded/compressed on an annual basis to provide for a sufficient breakout of regulatory assets and liabilities."</f>
        <v>Unless otherwise stated, source of shaded cells is company input/records. Lines 1a through 1zz represent adjustable lines that may be expanded/compressed on an annual basis to provide for a sufficient breakout of regulatory assets and liabilities.</v>
      </c>
      <c r="C27" s="274"/>
    </row>
    <row r="28" spans="1:31" ht="15.75" customHeight="1" x14ac:dyDescent="0.25">
      <c r="A28" s="23"/>
      <c r="B28" s="274"/>
      <c r="C28" s="274"/>
    </row>
    <row r="29" spans="1:31" ht="15.75" customHeight="1" x14ac:dyDescent="0.25">
      <c r="A29" s="23"/>
      <c r="B29" s="274"/>
      <c r="C29" s="274"/>
    </row>
    <row r="30" spans="1:31" ht="18.75" x14ac:dyDescent="0.25">
      <c r="A30" s="23">
        <v>2</v>
      </c>
      <c r="B30" s="274" t="str">
        <f>"Must be listed as either 'Asset' or 'Liability'. Lines "&amp;A21&amp;" and "&amp;A23&amp;" populate automatically based on these labels."</f>
        <v>Must be listed as either 'Asset' or 'Liability'. Lines 3 and 4 populate automatically based on these labels.</v>
      </c>
      <c r="C30" s="274"/>
    </row>
    <row r="31" spans="1:31" ht="15.75" customHeight="1" x14ac:dyDescent="0.25">
      <c r="A31" s="23"/>
      <c r="B31" s="274"/>
      <c r="C31" s="274"/>
    </row>
    <row r="32" spans="1:31" ht="18.75" x14ac:dyDescent="0.25">
      <c r="A32" s="23">
        <v>3</v>
      </c>
      <c r="B32" t="s">
        <v>677</v>
      </c>
    </row>
    <row r="33" spans="1:31" ht="18.75" x14ac:dyDescent="0.25">
      <c r="A33" s="23">
        <v>4</v>
      </c>
      <c r="B33" s="274" t="str">
        <f>"Percentages greater than 0% listed in column "&amp;K9&amp;" must be accompanied by a corresponding FERC docket number in column "&amp;E9&amp;", where recovery was specifically directed or approved by the Commission pursuant to a §205, §206, or §219 filing. The associated recovery period resulting from the Commission direction or approval must be listed in column "&amp;G9&amp;"."</f>
        <v>Percentages greater than 0% listed in column [j] must be accompanied by a corresponding FERC docket number in column [d], where recovery was specifically directed or approved by the Commission pursuant to a §205, §206, or §219 filing. The associated recovery period resulting from the Commission direction or approval must be listed in column [f].</v>
      </c>
      <c r="C33" s="274"/>
    </row>
    <row r="34" spans="1:31" ht="18.75" x14ac:dyDescent="0.25">
      <c r="A34" s="23"/>
      <c r="B34" s="274"/>
      <c r="C34" s="274"/>
    </row>
    <row r="35" spans="1:31" ht="18.75" x14ac:dyDescent="0.25">
      <c r="A35" s="23"/>
      <c r="B35" s="274"/>
      <c r="C35" s="274"/>
    </row>
    <row r="36" spans="1:31" ht="9.75" customHeight="1" x14ac:dyDescent="0.25">
      <c r="A36" s="23"/>
      <c r="B36" s="274"/>
      <c r="C36" s="274"/>
    </row>
    <row r="37" spans="1:31" ht="20.85" customHeight="1" x14ac:dyDescent="0.25">
      <c r="A37" s="23">
        <v>5</v>
      </c>
      <c r="B37" s="274" t="str">
        <f>"Percentages greater than 0% listed in column "&amp;AC9&amp;" must be accompanied by a corresponding FERC docket number in column "&amp;E9&amp;", where rate base treatment was specifically directed or approved by the Commission pursuant to a §205, §206, or §219 filing. To the extent that rate"&amp;" base inclusion for the regulatory asset/liability was approved in a separate docket than the docket in which the rate recovery (through amortization) was approved, list both dockets in column "&amp;E9&amp;"."</f>
        <v>Percentages greater than 0% listed in column [bb] must be accompanied by a corresponding FERC docket number in column [d], where rate base treatment was specifically directed or approved by the Commission pursuant to a §205, §206, or §219 filing. To the extent that rate base inclusion for the regulatory asset/liability was approved in a separate docket than the docket in which the rate recovery (through amortization) was approved, list both dockets in column [d].</v>
      </c>
      <c r="C37" s="274"/>
    </row>
    <row r="38" spans="1:31" ht="20.85" customHeight="1" x14ac:dyDescent="0.25">
      <c r="A38" s="23"/>
      <c r="B38" s="274"/>
      <c r="C38" s="274"/>
    </row>
    <row r="39" spans="1:31" ht="20.85" customHeight="1" x14ac:dyDescent="0.25">
      <c r="A39" s="23"/>
      <c r="B39" s="274"/>
      <c r="C39" s="274"/>
    </row>
    <row r="40" spans="1:31" ht="36.75" customHeight="1" x14ac:dyDescent="0.25">
      <c r="A40" s="23"/>
      <c r="B40" s="274"/>
      <c r="C40" s="274"/>
    </row>
    <row r="41" spans="1:31" ht="18.75" x14ac:dyDescent="0.25">
      <c r="A41" s="23">
        <v>6</v>
      </c>
      <c r="B41" s="274" t="str">
        <f>"Only network allocator codes listed on "&amp;'A22 (Allocation Factors)'!F1&amp;" may be inputed."</f>
        <v>Only network allocator codes listed on Worksheet A22 may be inputed.</v>
      </c>
      <c r="C41" s="274"/>
    </row>
    <row r="42" spans="1:31" ht="30" customHeight="1" x14ac:dyDescent="0.25">
      <c r="A42" s="23"/>
      <c r="B42" s="274"/>
      <c r="C42" s="274"/>
    </row>
    <row r="43" spans="1:31" ht="5.25" customHeight="1" thickBot="1" x14ac:dyDescent="0.3">
      <c r="A43" s="2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row>
    <row r="44" spans="1:31" ht="5.25" customHeight="1" thickTop="1" x14ac:dyDescent="0.25"/>
  </sheetData>
  <mergeCells count="24">
    <mergeCell ref="AB7:AB8"/>
    <mergeCell ref="AD7:AD8"/>
    <mergeCell ref="AE7:AE8"/>
    <mergeCell ref="I7:I8"/>
    <mergeCell ref="J7:J8"/>
    <mergeCell ref="L7:M7"/>
    <mergeCell ref="N7:N8"/>
    <mergeCell ref="AC7:AC8"/>
    <mergeCell ref="V7:AA7"/>
    <mergeCell ref="A7:A9"/>
    <mergeCell ref="B7:B8"/>
    <mergeCell ref="C7:C8"/>
    <mergeCell ref="D7:D8"/>
    <mergeCell ref="E7:E8"/>
    <mergeCell ref="B27:C29"/>
    <mergeCell ref="B33:C36"/>
    <mergeCell ref="B37:C40"/>
    <mergeCell ref="B41:C42"/>
    <mergeCell ref="O7:U7"/>
    <mergeCell ref="B30:C31"/>
    <mergeCell ref="G7:G8"/>
    <mergeCell ref="F7:F8"/>
    <mergeCell ref="K7:K8"/>
    <mergeCell ref="H7:H8"/>
  </mergeCells>
  <pageMargins left="0.7" right="0.7" top="0.75" bottom="0.75" header="0.3" footer="0.3"/>
  <pageSetup scale="70" fitToWidth="4" orientation="landscape" horizontalDpi="1200" verticalDpi="1200" r:id="rId1"/>
  <headerFooter>
    <oddFooter>&amp;L&amp;6{W0327924.2 }</oddFooter>
  </headerFooter>
  <colBreaks count="4" manualBreakCount="4">
    <brk id="7" max="33" man="1"/>
    <brk id="14" max="33" man="1"/>
    <brk id="21" max="33" man="1"/>
    <brk id="28" max="33"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D38"/>
  <sheetViews>
    <sheetView workbookViewId="0"/>
  </sheetViews>
  <sheetFormatPr defaultRowHeight="15.75" x14ac:dyDescent="0.25"/>
  <cols>
    <col min="1" max="1" width="4.25" style="1" customWidth="1"/>
    <col min="2" max="2" width="29.75" customWidth="1"/>
    <col min="3" max="3" width="10.625" customWidth="1"/>
    <col min="4" max="4" width="10.75" customWidth="1"/>
    <col min="5" max="5" width="12.75" customWidth="1"/>
    <col min="6" max="6" width="10.625" customWidth="1"/>
    <col min="7" max="7" width="14.125" customWidth="1"/>
    <col min="8" max="8" width="14" customWidth="1"/>
    <col min="9" max="9" width="14.75" customWidth="1"/>
    <col min="10" max="10" width="13.25" customWidth="1"/>
    <col min="11" max="11" width="6.25" customWidth="1"/>
    <col min="13" max="13" width="15.25" customWidth="1"/>
    <col min="14" max="26" width="10.625" customWidth="1"/>
    <col min="27" max="28" width="15.25" customWidth="1"/>
    <col min="29" max="29" width="15.75" customWidth="1"/>
    <col min="30" max="30" width="30.625" customWidth="1"/>
  </cols>
  <sheetData>
    <row r="1" spans="1:30" x14ac:dyDescent="0.25">
      <c r="A1" s="6" t="str">
        <f>epe</f>
        <v>El Paso Electric Company</v>
      </c>
      <c r="M1" s="8" t="str">
        <f>$AD$1</f>
        <v>Worksheet A11</v>
      </c>
      <c r="V1" s="8" t="str">
        <f>$AD$1</f>
        <v>Worksheet A11</v>
      </c>
      <c r="AC1" s="8" t="str">
        <f>$AD$1</f>
        <v>Worksheet A11</v>
      </c>
      <c r="AD1" s="8" t="s">
        <v>326</v>
      </c>
    </row>
    <row r="2" spans="1:30" x14ac:dyDescent="0.25">
      <c r="A2" t="str">
        <f>frta</f>
        <v>Formula Rate Template (Actuals)</v>
      </c>
      <c r="M2" s="8"/>
      <c r="AD2" s="8"/>
    </row>
    <row r="3" spans="1:30" x14ac:dyDescent="0.25">
      <c r="A3" t="s">
        <v>439</v>
      </c>
    </row>
    <row r="4" spans="1:30" x14ac:dyDescent="0.25">
      <c r="A4" t="str">
        <f>"12 Months Ended December 31, "&amp;YEAR('A1 (FF1 Inputs)'!$E$12)</f>
        <v>12 Months Ended December 31, 2020</v>
      </c>
    </row>
    <row r="5" spans="1:30"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5.25" customHeight="1" thickTop="1" x14ac:dyDescent="0.25">
      <c r="A6"/>
    </row>
    <row r="7" spans="1:30" s="3" customFormat="1" ht="15.75" customHeight="1" x14ac:dyDescent="0.25">
      <c r="A7" s="266" t="str">
        <f>ln</f>
        <v>Line No.</v>
      </c>
      <c r="B7" s="266" t="s">
        <v>2</v>
      </c>
      <c r="C7" s="275" t="s">
        <v>384</v>
      </c>
      <c r="D7" s="282" t="s">
        <v>385</v>
      </c>
      <c r="E7" s="266" t="s">
        <v>670</v>
      </c>
      <c r="F7" s="282" t="s">
        <v>386</v>
      </c>
      <c r="G7" s="282" t="s">
        <v>387</v>
      </c>
      <c r="H7" s="282" t="s">
        <v>388</v>
      </c>
      <c r="I7" s="282" t="s">
        <v>389</v>
      </c>
      <c r="J7" s="282" t="s">
        <v>671</v>
      </c>
      <c r="K7" s="284" t="s">
        <v>393</v>
      </c>
      <c r="L7" s="284"/>
      <c r="M7" s="282" t="s">
        <v>391</v>
      </c>
      <c r="N7" s="270" t="s">
        <v>394</v>
      </c>
      <c r="O7" s="270"/>
      <c r="P7" s="270"/>
      <c r="Q7" s="270"/>
      <c r="R7" s="270"/>
      <c r="S7" s="270"/>
      <c r="T7" s="270"/>
      <c r="U7" s="270"/>
      <c r="V7" s="270"/>
      <c r="W7" s="270" t="str">
        <f>N7</f>
        <v>UNAMORTIZED BALANCES</v>
      </c>
      <c r="X7" s="270"/>
      <c r="Y7" s="270"/>
      <c r="Z7" s="270"/>
      <c r="AA7" s="275" t="s">
        <v>408</v>
      </c>
      <c r="AB7" s="282" t="s">
        <v>691</v>
      </c>
      <c r="AC7" s="275" t="s">
        <v>409</v>
      </c>
      <c r="AD7" s="266" t="s">
        <v>692</v>
      </c>
    </row>
    <row r="8" spans="1:30" s="3" customFormat="1" x14ac:dyDescent="0.25">
      <c r="A8" s="266"/>
      <c r="B8" s="266"/>
      <c r="C8" s="275"/>
      <c r="D8" s="282"/>
      <c r="E8" s="266"/>
      <c r="F8" s="282"/>
      <c r="G8" s="282"/>
      <c r="H8" s="282"/>
      <c r="I8" s="282"/>
      <c r="J8" s="282"/>
      <c r="K8" s="3" t="s">
        <v>5</v>
      </c>
      <c r="L8" s="3" t="s">
        <v>6</v>
      </c>
      <c r="M8" s="282"/>
      <c r="N8" s="3" t="str">
        <f>"Dec-"&amp;YEAR('A1 (FF1 Inputs)'!$E$12)-1</f>
        <v>Dec-2019</v>
      </c>
      <c r="O8" s="3" t="str">
        <f>"Jan-"&amp;YEAR('A1 (FF1 Inputs)'!$E$12)</f>
        <v>Jan-2020</v>
      </c>
      <c r="P8" s="3" t="str">
        <f>"Feb-"&amp;YEAR('A1 (FF1 Inputs)'!$E$12)</f>
        <v>Feb-2020</v>
      </c>
      <c r="Q8" s="3" t="str">
        <f>"Mar-"&amp;YEAR('A1 (FF1 Inputs)'!$E$12)</f>
        <v>Mar-2020</v>
      </c>
      <c r="R8" s="3" t="str">
        <f>"Apr-"&amp;YEAR('A1 (FF1 Inputs)'!$E$12)</f>
        <v>Apr-2020</v>
      </c>
      <c r="S8" s="3" t="str">
        <f>"May-"&amp;YEAR('A1 (FF1 Inputs)'!$E$12)</f>
        <v>May-2020</v>
      </c>
      <c r="T8" s="3" t="str">
        <f>"Jun-"&amp;YEAR('A1 (FF1 Inputs)'!$E$12)</f>
        <v>Jun-2020</v>
      </c>
      <c r="U8" s="3" t="str">
        <f>"Jul-"&amp;YEAR('A1 (FF1 Inputs)'!$E$12)</f>
        <v>Jul-2020</v>
      </c>
      <c r="V8" s="3" t="str">
        <f>"Aug-"&amp;YEAR('A1 (FF1 Inputs)'!$E$12)</f>
        <v>Aug-2020</v>
      </c>
      <c r="W8" s="3" t="str">
        <f>"Sep-"&amp;YEAR('A1 (FF1 Inputs)'!$E$12)</f>
        <v>Sep-2020</v>
      </c>
      <c r="X8" s="3" t="str">
        <f>"Oct-"&amp;YEAR('A1 (FF1 Inputs)'!$E$12)</f>
        <v>Oct-2020</v>
      </c>
      <c r="Y8" s="3" t="str">
        <f>"Nov-"&amp;YEAR('A1 (FF1 Inputs)'!$E$12)</f>
        <v>Nov-2020</v>
      </c>
      <c r="Z8" s="3" t="str">
        <f>"Dec-"&amp;YEAR('A1 (FF1 Inputs)'!$E$12)</f>
        <v>Dec-2020</v>
      </c>
      <c r="AA8" s="275"/>
      <c r="AB8" s="282"/>
      <c r="AC8" s="275"/>
      <c r="AD8" s="266"/>
    </row>
    <row r="9" spans="1:30" s="1" customFormat="1" ht="36" x14ac:dyDescent="0.25">
      <c r="A9" s="266"/>
      <c r="B9" s="2" t="s">
        <v>7</v>
      </c>
      <c r="C9" s="2" t="s">
        <v>8</v>
      </c>
      <c r="D9" s="2" t="s">
        <v>9</v>
      </c>
      <c r="E9" s="2" t="s">
        <v>10</v>
      </c>
      <c r="F9" s="2" t="s">
        <v>11</v>
      </c>
      <c r="G9" s="2" t="s">
        <v>440</v>
      </c>
      <c r="H9" s="47" t="s">
        <v>445</v>
      </c>
      <c r="I9" s="2" t="s">
        <v>441</v>
      </c>
      <c r="J9" s="2" t="s">
        <v>93</v>
      </c>
      <c r="K9" s="2" t="s">
        <v>94</v>
      </c>
      <c r="L9" s="2" t="s">
        <v>95</v>
      </c>
      <c r="M9" s="2" t="s">
        <v>442</v>
      </c>
      <c r="N9" s="2" t="s">
        <v>392</v>
      </c>
      <c r="O9" s="2" t="s">
        <v>395</v>
      </c>
      <c r="P9" s="2" t="s">
        <v>396</v>
      </c>
      <c r="Q9" s="2" t="s">
        <v>397</v>
      </c>
      <c r="R9" s="2" t="s">
        <v>398</v>
      </c>
      <c r="S9" s="2" t="s">
        <v>399</v>
      </c>
      <c r="T9" s="2" t="s">
        <v>400</v>
      </c>
      <c r="U9" s="2" t="s">
        <v>401</v>
      </c>
      <c r="V9" s="2" t="s">
        <v>402</v>
      </c>
      <c r="W9" s="2" t="s">
        <v>403</v>
      </c>
      <c r="X9" s="2" t="s">
        <v>404</v>
      </c>
      <c r="Y9" s="2" t="s">
        <v>405</v>
      </c>
      <c r="Z9" s="2" t="s">
        <v>406</v>
      </c>
      <c r="AA9" s="3" t="s">
        <v>443</v>
      </c>
      <c r="AB9" s="2" t="s">
        <v>635</v>
      </c>
      <c r="AC9" s="2" t="s">
        <v>689</v>
      </c>
      <c r="AD9" s="2" t="s">
        <v>444</v>
      </c>
    </row>
    <row r="10" spans="1:30"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row>
    <row r="11" spans="1:30" ht="5.25" customHeight="1" x14ac:dyDescent="0.25">
      <c r="A11"/>
    </row>
    <row r="12" spans="1:30" x14ac:dyDescent="0.25">
      <c r="A12" s="31" t="s">
        <v>411</v>
      </c>
      <c r="B12" s="32" t="s">
        <v>357</v>
      </c>
      <c r="C12" s="31" t="s">
        <v>357</v>
      </c>
      <c r="D12" s="31" t="s">
        <v>357</v>
      </c>
      <c r="E12" s="37">
        <v>0</v>
      </c>
      <c r="F12" s="31">
        <v>0</v>
      </c>
      <c r="G12" s="41">
        <f>IFERROR(E12/F12,0)</f>
        <v>0</v>
      </c>
      <c r="H12" s="44">
        <f>IFERROR(IF(N12/G12&lt;12,N12/G12,12),0)</f>
        <v>0</v>
      </c>
      <c r="I12" s="41">
        <f>G12*H12</f>
        <v>0</v>
      </c>
      <c r="J12" s="43">
        <v>0</v>
      </c>
      <c r="K12" s="31" t="s">
        <v>357</v>
      </c>
      <c r="L12" s="45">
        <f>IFERROR(VLOOKUP(K12,'A22 (Allocation Factors)'!$D:$F,3,0),0)</f>
        <v>0</v>
      </c>
      <c r="M12" s="41">
        <f>I12*J12*L12</f>
        <v>0</v>
      </c>
      <c r="N12" s="37">
        <v>0</v>
      </c>
      <c r="O12" s="37">
        <v>0</v>
      </c>
      <c r="P12" s="37">
        <v>0</v>
      </c>
      <c r="Q12" s="37">
        <v>0</v>
      </c>
      <c r="R12" s="37">
        <v>0</v>
      </c>
      <c r="S12" s="37">
        <v>0</v>
      </c>
      <c r="T12" s="37">
        <v>0</v>
      </c>
      <c r="U12" s="37">
        <v>0</v>
      </c>
      <c r="V12" s="37">
        <v>0</v>
      </c>
      <c r="W12" s="37">
        <v>0</v>
      </c>
      <c r="X12" s="37">
        <v>0</v>
      </c>
      <c r="Y12" s="37">
        <v>0</v>
      </c>
      <c r="Z12" s="37">
        <v>0</v>
      </c>
      <c r="AA12" s="41">
        <f>AVERAGE(N12:Z12)</f>
        <v>0</v>
      </c>
      <c r="AB12" s="43">
        <v>0</v>
      </c>
      <c r="AC12" s="41">
        <f>AA12*AB12*L12</f>
        <v>0</v>
      </c>
      <c r="AD12" s="46" t="s">
        <v>357</v>
      </c>
    </row>
    <row r="13" spans="1:30" x14ac:dyDescent="0.25">
      <c r="A13" s="31" t="s">
        <v>412</v>
      </c>
      <c r="B13" s="32" t="s">
        <v>357</v>
      </c>
      <c r="C13" s="31" t="s">
        <v>357</v>
      </c>
      <c r="D13" s="31" t="s">
        <v>357</v>
      </c>
      <c r="E13" s="37">
        <v>0</v>
      </c>
      <c r="F13" s="31">
        <v>0</v>
      </c>
      <c r="G13" s="41">
        <f t="shared" ref="G13:G18" si="0">IFERROR(E13/F13,0)</f>
        <v>0</v>
      </c>
      <c r="H13" s="44">
        <f t="shared" ref="H13:H18" si="1">IFERROR(IF(N13/G13&lt;12,N13/G13,12),0)</f>
        <v>0</v>
      </c>
      <c r="I13" s="41">
        <f t="shared" ref="I13:I15" si="2">G13*H13</f>
        <v>0</v>
      </c>
      <c r="J13" s="43">
        <v>0</v>
      </c>
      <c r="K13" s="31" t="s">
        <v>357</v>
      </c>
      <c r="L13" s="45">
        <f>IFERROR(VLOOKUP(K13,'A22 (Allocation Factors)'!$D:$F,3,0),0)</f>
        <v>0</v>
      </c>
      <c r="M13" s="41">
        <f t="shared" ref="M13:M18" si="3">I13*J13*L13</f>
        <v>0</v>
      </c>
      <c r="N13" s="37">
        <v>0</v>
      </c>
      <c r="O13" s="37">
        <v>0</v>
      </c>
      <c r="P13" s="37">
        <v>0</v>
      </c>
      <c r="Q13" s="37">
        <v>0</v>
      </c>
      <c r="R13" s="37">
        <v>0</v>
      </c>
      <c r="S13" s="37">
        <v>0</v>
      </c>
      <c r="T13" s="37">
        <v>0</v>
      </c>
      <c r="U13" s="37">
        <v>0</v>
      </c>
      <c r="V13" s="37">
        <v>0</v>
      </c>
      <c r="W13" s="37">
        <v>0</v>
      </c>
      <c r="X13" s="37">
        <v>0</v>
      </c>
      <c r="Y13" s="37">
        <v>0</v>
      </c>
      <c r="Z13" s="37">
        <v>0</v>
      </c>
      <c r="AA13" s="41">
        <f t="shared" ref="AA13:AA18" si="4">AVERAGE(N13:Z13)</f>
        <v>0</v>
      </c>
      <c r="AB13" s="43">
        <v>0</v>
      </c>
      <c r="AC13" s="41">
        <f t="shared" ref="AC13:AC18" si="5">AA13*AB13*L13</f>
        <v>0</v>
      </c>
      <c r="AD13" s="46" t="s">
        <v>357</v>
      </c>
    </row>
    <row r="14" spans="1:30" x14ac:dyDescent="0.25">
      <c r="A14" s="31" t="s">
        <v>413</v>
      </c>
      <c r="B14" s="32" t="s">
        <v>357</v>
      </c>
      <c r="C14" s="31" t="s">
        <v>357</v>
      </c>
      <c r="D14" s="31" t="s">
        <v>357</v>
      </c>
      <c r="E14" s="37">
        <v>0</v>
      </c>
      <c r="F14" s="31">
        <v>0</v>
      </c>
      <c r="G14" s="41">
        <f t="shared" si="0"/>
        <v>0</v>
      </c>
      <c r="H14" s="44">
        <f t="shared" si="1"/>
        <v>0</v>
      </c>
      <c r="I14" s="41">
        <f t="shared" si="2"/>
        <v>0</v>
      </c>
      <c r="J14" s="43">
        <v>0</v>
      </c>
      <c r="K14" s="31" t="s">
        <v>357</v>
      </c>
      <c r="L14" s="45">
        <f>IFERROR(VLOOKUP(K14,'A22 (Allocation Factors)'!$D:$F,3,0),0)</f>
        <v>0</v>
      </c>
      <c r="M14" s="41">
        <f t="shared" si="3"/>
        <v>0</v>
      </c>
      <c r="N14" s="37">
        <v>0</v>
      </c>
      <c r="O14" s="37">
        <v>0</v>
      </c>
      <c r="P14" s="37">
        <v>0</v>
      </c>
      <c r="Q14" s="37">
        <v>0</v>
      </c>
      <c r="R14" s="37">
        <v>0</v>
      </c>
      <c r="S14" s="37">
        <v>0</v>
      </c>
      <c r="T14" s="37">
        <v>0</v>
      </c>
      <c r="U14" s="37">
        <v>0</v>
      </c>
      <c r="V14" s="37">
        <v>0</v>
      </c>
      <c r="W14" s="37">
        <v>0</v>
      </c>
      <c r="X14" s="37">
        <v>0</v>
      </c>
      <c r="Y14" s="37">
        <v>0</v>
      </c>
      <c r="Z14" s="37">
        <v>0</v>
      </c>
      <c r="AA14" s="41">
        <f t="shared" si="4"/>
        <v>0</v>
      </c>
      <c r="AB14" s="43">
        <v>0</v>
      </c>
      <c r="AC14" s="41">
        <f t="shared" si="5"/>
        <v>0</v>
      </c>
      <c r="AD14" s="46" t="s">
        <v>357</v>
      </c>
    </row>
    <row r="15" spans="1:30" x14ac:dyDescent="0.25">
      <c r="A15" s="31" t="s">
        <v>357</v>
      </c>
      <c r="B15" s="32" t="s">
        <v>357</v>
      </c>
      <c r="C15" s="31" t="s">
        <v>357</v>
      </c>
      <c r="D15" s="31" t="s">
        <v>357</v>
      </c>
      <c r="E15" s="37">
        <v>0</v>
      </c>
      <c r="F15" s="31">
        <v>0</v>
      </c>
      <c r="G15" s="41">
        <f t="shared" si="0"/>
        <v>0</v>
      </c>
      <c r="H15" s="44">
        <f t="shared" si="1"/>
        <v>0</v>
      </c>
      <c r="I15" s="41">
        <f t="shared" si="2"/>
        <v>0</v>
      </c>
      <c r="J15" s="43">
        <v>0</v>
      </c>
      <c r="K15" s="31" t="s">
        <v>357</v>
      </c>
      <c r="L15" s="45">
        <f>IFERROR(VLOOKUP(K15,'A22 (Allocation Factors)'!$D:$F,3,0),0)</f>
        <v>0</v>
      </c>
      <c r="M15" s="41">
        <f t="shared" si="3"/>
        <v>0</v>
      </c>
      <c r="N15" s="37">
        <v>0</v>
      </c>
      <c r="O15" s="37">
        <v>0</v>
      </c>
      <c r="P15" s="37">
        <v>0</v>
      </c>
      <c r="Q15" s="37">
        <v>0</v>
      </c>
      <c r="R15" s="37">
        <v>0</v>
      </c>
      <c r="S15" s="37">
        <v>0</v>
      </c>
      <c r="T15" s="37">
        <v>0</v>
      </c>
      <c r="U15" s="37">
        <v>0</v>
      </c>
      <c r="V15" s="37">
        <v>0</v>
      </c>
      <c r="W15" s="37">
        <v>0</v>
      </c>
      <c r="X15" s="37">
        <v>0</v>
      </c>
      <c r="Y15" s="37">
        <v>0</v>
      </c>
      <c r="Z15" s="37">
        <v>0</v>
      </c>
      <c r="AA15" s="41">
        <f t="shared" si="4"/>
        <v>0</v>
      </c>
      <c r="AB15" s="43">
        <v>0</v>
      </c>
      <c r="AC15" s="41">
        <f t="shared" si="5"/>
        <v>0</v>
      </c>
      <c r="AD15" s="46" t="s">
        <v>357</v>
      </c>
    </row>
    <row r="16" spans="1:30" x14ac:dyDescent="0.25">
      <c r="A16" s="31" t="s">
        <v>357</v>
      </c>
      <c r="B16" s="32" t="s">
        <v>357</v>
      </c>
      <c r="C16" s="31" t="s">
        <v>357</v>
      </c>
      <c r="D16" s="31" t="s">
        <v>357</v>
      </c>
      <c r="E16" s="37">
        <v>0</v>
      </c>
      <c r="F16" s="31">
        <v>0</v>
      </c>
      <c r="G16" s="41">
        <f t="shared" si="0"/>
        <v>0</v>
      </c>
      <c r="H16" s="44">
        <f t="shared" si="1"/>
        <v>0</v>
      </c>
      <c r="I16" s="41">
        <f>G16*H16</f>
        <v>0</v>
      </c>
      <c r="J16" s="43">
        <v>0</v>
      </c>
      <c r="K16" s="31" t="s">
        <v>357</v>
      </c>
      <c r="L16" s="45">
        <f>IFERROR(VLOOKUP(K16,'A22 (Allocation Factors)'!$D:$F,3,0),0)</f>
        <v>0</v>
      </c>
      <c r="M16" s="41">
        <f t="shared" si="3"/>
        <v>0</v>
      </c>
      <c r="N16" s="37">
        <v>0</v>
      </c>
      <c r="O16" s="37">
        <v>0</v>
      </c>
      <c r="P16" s="37">
        <v>0</v>
      </c>
      <c r="Q16" s="37">
        <v>0</v>
      </c>
      <c r="R16" s="37">
        <v>0</v>
      </c>
      <c r="S16" s="37">
        <v>0</v>
      </c>
      <c r="T16" s="37">
        <v>0</v>
      </c>
      <c r="U16" s="37">
        <v>0</v>
      </c>
      <c r="V16" s="37">
        <v>0</v>
      </c>
      <c r="W16" s="37">
        <v>0</v>
      </c>
      <c r="X16" s="37">
        <v>0</v>
      </c>
      <c r="Y16" s="37">
        <v>0</v>
      </c>
      <c r="Z16" s="37">
        <v>0</v>
      </c>
      <c r="AA16" s="41">
        <f t="shared" si="4"/>
        <v>0</v>
      </c>
      <c r="AB16" s="43">
        <v>0</v>
      </c>
      <c r="AC16" s="41">
        <f t="shared" si="5"/>
        <v>0</v>
      </c>
      <c r="AD16" s="46" t="s">
        <v>357</v>
      </c>
    </row>
    <row r="17" spans="1:30" x14ac:dyDescent="0.25">
      <c r="A17" s="31" t="s">
        <v>357</v>
      </c>
      <c r="B17" s="32" t="s">
        <v>357</v>
      </c>
      <c r="C17" s="31" t="s">
        <v>357</v>
      </c>
      <c r="D17" s="31" t="s">
        <v>357</v>
      </c>
      <c r="E17" s="37">
        <v>0</v>
      </c>
      <c r="F17" s="31">
        <v>0</v>
      </c>
      <c r="G17" s="41">
        <f t="shared" si="0"/>
        <v>0</v>
      </c>
      <c r="H17" s="44">
        <f t="shared" si="1"/>
        <v>0</v>
      </c>
      <c r="I17" s="41">
        <f t="shared" ref="I17:I18" si="6">G17*H17</f>
        <v>0</v>
      </c>
      <c r="J17" s="43">
        <v>0</v>
      </c>
      <c r="K17" s="31" t="s">
        <v>357</v>
      </c>
      <c r="L17" s="45">
        <f>IFERROR(VLOOKUP(K17,'A22 (Allocation Factors)'!$D:$F,3,0),0)</f>
        <v>0</v>
      </c>
      <c r="M17" s="41">
        <f t="shared" si="3"/>
        <v>0</v>
      </c>
      <c r="N17" s="37">
        <v>0</v>
      </c>
      <c r="O17" s="37">
        <v>0</v>
      </c>
      <c r="P17" s="37">
        <v>0</v>
      </c>
      <c r="Q17" s="37">
        <v>0</v>
      </c>
      <c r="R17" s="37">
        <v>0</v>
      </c>
      <c r="S17" s="37">
        <v>0</v>
      </c>
      <c r="T17" s="37">
        <v>0</v>
      </c>
      <c r="U17" s="37">
        <v>0</v>
      </c>
      <c r="V17" s="37">
        <v>0</v>
      </c>
      <c r="W17" s="37">
        <v>0</v>
      </c>
      <c r="X17" s="37">
        <v>0</v>
      </c>
      <c r="Y17" s="37">
        <v>0</v>
      </c>
      <c r="Z17" s="37">
        <v>0</v>
      </c>
      <c r="AA17" s="41">
        <f t="shared" si="4"/>
        <v>0</v>
      </c>
      <c r="AB17" s="43">
        <v>0</v>
      </c>
      <c r="AC17" s="41">
        <f t="shared" si="5"/>
        <v>0</v>
      </c>
      <c r="AD17" s="46" t="s">
        <v>357</v>
      </c>
    </row>
    <row r="18" spans="1:30" x14ac:dyDescent="0.25">
      <c r="A18" s="1" t="s">
        <v>478</v>
      </c>
      <c r="B18" s="104" t="s">
        <v>357</v>
      </c>
      <c r="C18" s="73" t="s">
        <v>357</v>
      </c>
      <c r="D18" s="73" t="s">
        <v>357</v>
      </c>
      <c r="E18" s="20">
        <v>0</v>
      </c>
      <c r="F18" s="73">
        <v>0</v>
      </c>
      <c r="G18" s="10">
        <f t="shared" si="0"/>
        <v>0</v>
      </c>
      <c r="H18" s="25">
        <f t="shared" si="1"/>
        <v>0</v>
      </c>
      <c r="I18" s="10">
        <f t="shared" si="6"/>
        <v>0</v>
      </c>
      <c r="J18" s="105">
        <v>0</v>
      </c>
      <c r="K18" s="73" t="s">
        <v>357</v>
      </c>
      <c r="L18" s="74">
        <f>IFERROR(VLOOKUP(K18,'A22 (Allocation Factors)'!$D:$F,3,0),0)</f>
        <v>0</v>
      </c>
      <c r="M18" s="10">
        <f t="shared" si="3"/>
        <v>0</v>
      </c>
      <c r="N18" s="20">
        <v>0</v>
      </c>
      <c r="O18" s="20">
        <v>0</v>
      </c>
      <c r="P18" s="20">
        <v>0</v>
      </c>
      <c r="Q18" s="20">
        <v>0</v>
      </c>
      <c r="R18" s="20">
        <v>0</v>
      </c>
      <c r="S18" s="20">
        <v>0</v>
      </c>
      <c r="T18" s="20">
        <v>0</v>
      </c>
      <c r="U18" s="20">
        <v>0</v>
      </c>
      <c r="V18" s="20">
        <v>0</v>
      </c>
      <c r="W18" s="20">
        <v>0</v>
      </c>
      <c r="X18" s="20">
        <v>0</v>
      </c>
      <c r="Y18" s="20">
        <v>0</v>
      </c>
      <c r="Z18" s="20">
        <v>0</v>
      </c>
      <c r="AA18" s="10">
        <f t="shared" si="4"/>
        <v>0</v>
      </c>
      <c r="AB18" s="105">
        <v>0</v>
      </c>
      <c r="AC18" s="10">
        <f t="shared" si="5"/>
        <v>0</v>
      </c>
      <c r="AD18" s="48" t="s">
        <v>357</v>
      </c>
    </row>
    <row r="19" spans="1:30" s="6" customFormat="1" x14ac:dyDescent="0.25">
      <c r="A19" s="88">
        <v>2</v>
      </c>
      <c r="B19" s="89" t="str">
        <f>"Total Abandoned Plant (Sum Lns. ("&amp;A12&amp;" through "&amp;A18&amp;"))"</f>
        <v>Total Abandoned Plant (Sum Lns. (1a through 1zz))</v>
      </c>
      <c r="C19" s="89"/>
      <c r="D19" s="89"/>
      <c r="E19" s="90">
        <f>SUM(E12:E18)</f>
        <v>0</v>
      </c>
      <c r="F19" s="89"/>
      <c r="G19" s="90">
        <f>SUM(G12:G18)</f>
        <v>0</v>
      </c>
      <c r="H19" s="89"/>
      <c r="I19" s="90">
        <f>SUM(I12:I18)</f>
        <v>0</v>
      </c>
      <c r="J19" s="89"/>
      <c r="K19" s="89"/>
      <c r="L19" s="89"/>
      <c r="M19" s="90">
        <f>SUM(M12:M18)</f>
        <v>0</v>
      </c>
      <c r="N19" s="90">
        <f t="shared" ref="N19:AC19" si="7">SUM(N12:N18)</f>
        <v>0</v>
      </c>
      <c r="O19" s="90">
        <f t="shared" si="7"/>
        <v>0</v>
      </c>
      <c r="P19" s="90">
        <f t="shared" si="7"/>
        <v>0</v>
      </c>
      <c r="Q19" s="90">
        <f t="shared" si="7"/>
        <v>0</v>
      </c>
      <c r="R19" s="90">
        <f t="shared" si="7"/>
        <v>0</v>
      </c>
      <c r="S19" s="90">
        <f t="shared" si="7"/>
        <v>0</v>
      </c>
      <c r="T19" s="90">
        <f t="shared" si="7"/>
        <v>0</v>
      </c>
      <c r="U19" s="90">
        <f t="shared" si="7"/>
        <v>0</v>
      </c>
      <c r="V19" s="90">
        <f t="shared" si="7"/>
        <v>0</v>
      </c>
      <c r="W19" s="90">
        <f t="shared" si="7"/>
        <v>0</v>
      </c>
      <c r="X19" s="90">
        <f t="shared" si="7"/>
        <v>0</v>
      </c>
      <c r="Y19" s="90">
        <f t="shared" si="7"/>
        <v>0</v>
      </c>
      <c r="Z19" s="90">
        <f t="shared" si="7"/>
        <v>0</v>
      </c>
      <c r="AA19" s="90">
        <f t="shared" si="7"/>
        <v>0</v>
      </c>
      <c r="AB19" s="90"/>
      <c r="AC19" s="90">
        <f t="shared" si="7"/>
        <v>0</v>
      </c>
      <c r="AD19" s="89"/>
    </row>
    <row r="20" spans="1:30"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row>
    <row r="21" spans="1:30" ht="5.25" customHeight="1" x14ac:dyDescent="0.25"/>
    <row r="22" spans="1:30" x14ac:dyDescent="0.25">
      <c r="A22" s="22" t="str">
        <f>note</f>
        <v>Notes and Sources:</v>
      </c>
    </row>
    <row r="23" spans="1:30" ht="18.75" customHeight="1" x14ac:dyDescent="0.25">
      <c r="A23" s="23">
        <v>1</v>
      </c>
      <c r="B23" s="274" t="str">
        <f>"Unless otherwise stated, source of shaded cells is company input/records. Lines "&amp;A12&amp;" through "&amp;A18&amp;" represent adjustable lines that may be expanded/compressed on an annual basis to provide for a sufficient breakout of abandoned plant."</f>
        <v>Unless otherwise stated, source of shaded cells is company input/records. Lines 1a through 1zz represent adjustable lines that may be expanded/compressed on an annual basis to provide for a sufficient breakout of abandoned plant.</v>
      </c>
      <c r="C23" s="274"/>
      <c r="D23" s="274"/>
      <c r="E23" s="274"/>
      <c r="F23" s="274"/>
    </row>
    <row r="24" spans="1:30" ht="15.75" customHeight="1" x14ac:dyDescent="0.25">
      <c r="A24" s="23"/>
      <c r="B24" s="274"/>
      <c r="C24" s="274"/>
      <c r="D24" s="274"/>
      <c r="E24" s="274"/>
      <c r="F24" s="274"/>
    </row>
    <row r="25" spans="1:30" ht="15.75" customHeight="1" x14ac:dyDescent="0.25">
      <c r="A25" s="23"/>
      <c r="B25" s="274"/>
      <c r="C25" s="274"/>
      <c r="D25" s="274"/>
      <c r="E25" s="274"/>
      <c r="F25" s="274"/>
    </row>
    <row r="26" spans="1:30" ht="18.75" x14ac:dyDescent="0.25">
      <c r="A26" s="23">
        <v>2</v>
      </c>
      <c r="B26" t="s">
        <v>690</v>
      </c>
    </row>
    <row r="27" spans="1:30" ht="18.75" customHeight="1" x14ac:dyDescent="0.25">
      <c r="A27" s="23">
        <v>3</v>
      </c>
      <c r="B27" s="274" t="str">
        <f>"Percentages greater than 0% listed in column "&amp;J9&amp;" must be accompanied by a corresponding FERC docket number in column "&amp;D9&amp;", where recovery was specifically directed or approved by the Commission pursuant to a §205, §206, or §219 filing. The associated recovery period resulting from the Commission direction or approval must be listed in column "&amp;F9&amp;"."</f>
        <v>Percentages greater than 0% listed in column [i] must be accompanied by a corresponding FERC docket number in column [c], where recovery was specifically directed or approved by the Commission pursuant to a §205, §206, or §219 filing. The associated recovery period resulting from the Commission direction or approval must be listed in column [e].</v>
      </c>
      <c r="C27" s="274"/>
      <c r="D27" s="274"/>
      <c r="E27" s="274"/>
      <c r="F27" s="274"/>
    </row>
    <row r="28" spans="1:30" ht="18.75" x14ac:dyDescent="0.25">
      <c r="A28" s="23"/>
      <c r="B28" s="274"/>
      <c r="C28" s="274"/>
      <c r="D28" s="274"/>
      <c r="E28" s="274"/>
      <c r="F28" s="274"/>
    </row>
    <row r="29" spans="1:30" ht="18.75" x14ac:dyDescent="0.25">
      <c r="A29" s="23"/>
      <c r="B29" s="274"/>
      <c r="C29" s="274"/>
      <c r="D29" s="274"/>
      <c r="E29" s="274"/>
      <c r="F29" s="274"/>
    </row>
    <row r="30" spans="1:30" ht="12" customHeight="1" x14ac:dyDescent="0.25">
      <c r="A30" s="23"/>
      <c r="B30" s="274"/>
      <c r="C30" s="274"/>
      <c r="D30" s="274"/>
      <c r="E30" s="274"/>
      <c r="F30" s="274"/>
    </row>
    <row r="31" spans="1:30" ht="18.75" customHeight="1" x14ac:dyDescent="0.25">
      <c r="A31" s="23">
        <v>4</v>
      </c>
      <c r="B31" s="274" t="str">
        <f>"Percentages greater than 0% listed in column "&amp;AB9&amp;" must be accompanied by a corresponding FERC docket number in column "&amp;D9&amp;", where rate base treatment was specifically directed or approved by the Commission pursuant to a §205, §206, or §219 filing. To the extent that rate"&amp;" base inclusion for the abandoned plant was approved in a separate docket than the docket in which the rate recovery (through amortization) was approved, list both dockets in column "&amp;D9&amp;"."</f>
        <v>Percentages greater than 0% listed in column [aa] must be accompanied by a corresponding FERC docket number in column [c], where rate base treatment was specifically directed or approved by the Commission pursuant to a §205, §206, or §219 filing. To the extent that rate base inclusion for the abandoned plant was approved in a separate docket than the docket in which the rate recovery (through amortization) was approved, list both dockets in column [c].</v>
      </c>
      <c r="C31" s="274"/>
      <c r="D31" s="274"/>
      <c r="E31" s="274"/>
      <c r="F31" s="274"/>
    </row>
    <row r="32" spans="1:30" ht="18.75" x14ac:dyDescent="0.25">
      <c r="A32" s="23"/>
      <c r="B32" s="274"/>
      <c r="C32" s="274"/>
      <c r="D32" s="274"/>
      <c r="E32" s="274"/>
      <c r="F32" s="274"/>
    </row>
    <row r="33" spans="1:30" ht="18.75" x14ac:dyDescent="0.25">
      <c r="A33" s="23"/>
      <c r="B33" s="274"/>
      <c r="C33" s="274"/>
      <c r="D33" s="274"/>
      <c r="E33" s="274"/>
      <c r="F33" s="274"/>
    </row>
    <row r="34" spans="1:30" ht="40.5" customHeight="1" x14ac:dyDescent="0.25">
      <c r="A34" s="23"/>
      <c r="B34" s="274"/>
      <c r="C34" s="274"/>
      <c r="D34" s="274"/>
      <c r="E34" s="274"/>
      <c r="F34" s="274"/>
    </row>
    <row r="35" spans="1:30" ht="18.75" customHeight="1" x14ac:dyDescent="0.25">
      <c r="A35" s="23">
        <v>5</v>
      </c>
      <c r="B35" s="274" t="str">
        <f>"Only network allocator codes listed on "&amp;'A22 (Allocation Factors)'!F1&amp;" may be inputed."</f>
        <v>Only network allocator codes listed on Worksheet A22 may be inputed.</v>
      </c>
      <c r="C35" s="274"/>
      <c r="D35" s="274"/>
      <c r="E35" s="274"/>
      <c r="F35" s="274"/>
    </row>
    <row r="36" spans="1:30" ht="33.75" customHeight="1" x14ac:dyDescent="0.25">
      <c r="A36" s="23"/>
      <c r="B36" s="274"/>
      <c r="C36" s="274"/>
      <c r="D36" s="274"/>
      <c r="E36" s="274"/>
      <c r="F36" s="274"/>
    </row>
    <row r="37" spans="1:30" ht="5.25" customHeight="1" thickBot="1" x14ac:dyDescent="0.3">
      <c r="A37" s="2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ht="5.25" customHeight="1" thickTop="1" x14ac:dyDescent="0.25"/>
  </sheetData>
  <mergeCells count="22">
    <mergeCell ref="M7:M8"/>
    <mergeCell ref="AA7:AA8"/>
    <mergeCell ref="AC7:AC8"/>
    <mergeCell ref="AD7:AD8"/>
    <mergeCell ref="AB7:AB8"/>
    <mergeCell ref="W7:Z7"/>
    <mergeCell ref="N7:V7"/>
    <mergeCell ref="A7:A9"/>
    <mergeCell ref="B7:B8"/>
    <mergeCell ref="C7:C8"/>
    <mergeCell ref="D7:D8"/>
    <mergeCell ref="E7:E8"/>
    <mergeCell ref="B23:F25"/>
    <mergeCell ref="B27:F30"/>
    <mergeCell ref="B31:F34"/>
    <mergeCell ref="B35:F36"/>
    <mergeCell ref="K7:L7"/>
    <mergeCell ref="F7:F8"/>
    <mergeCell ref="G7:G8"/>
    <mergeCell ref="H7:H8"/>
    <mergeCell ref="I7:I8"/>
    <mergeCell ref="J7:J8"/>
  </mergeCells>
  <pageMargins left="0.7" right="0.7" top="0.75" bottom="0.75" header="0.3" footer="0.3"/>
  <pageSetup scale="65" fitToWidth="4" orientation="landscape" horizontalDpi="1200" verticalDpi="1200" r:id="rId1"/>
  <headerFooter>
    <oddFooter>&amp;L&amp;6{W0327924.2 }</oddFooter>
  </headerFooter>
  <colBreaks count="1" manualBreakCount="1">
    <brk id="13" max="37"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W44"/>
  <sheetViews>
    <sheetView workbookViewId="0"/>
  </sheetViews>
  <sheetFormatPr defaultRowHeight="15.75" x14ac:dyDescent="0.25"/>
  <cols>
    <col min="1" max="1" width="4.25" style="1" customWidth="1"/>
    <col min="2" max="2" width="39.25" customWidth="1"/>
    <col min="3" max="3" width="10.5" customWidth="1"/>
    <col min="4" max="4" width="11.75" customWidth="1"/>
    <col min="5" max="5" width="11.125" customWidth="1"/>
    <col min="6" max="18" width="13.625" customWidth="1"/>
    <col min="19" max="19" width="15.25" customWidth="1"/>
    <col min="22" max="22" width="15.25" customWidth="1"/>
    <col min="23" max="23" width="38.75" customWidth="1"/>
  </cols>
  <sheetData>
    <row r="1" spans="1:23" ht="15.75" customHeight="1" x14ac:dyDescent="0.25">
      <c r="A1" s="6" t="str">
        <f>epe</f>
        <v>El Paso Electric Company</v>
      </c>
      <c r="N1" s="8" t="str">
        <f>$W$1</f>
        <v>Worksheet A12</v>
      </c>
      <c r="V1" s="8" t="str">
        <f>$W$1</f>
        <v>Worksheet A12</v>
      </c>
      <c r="W1" s="8" t="s">
        <v>526</v>
      </c>
    </row>
    <row r="2" spans="1:23" x14ac:dyDescent="0.25">
      <c r="A2" t="str">
        <f>frta</f>
        <v>Formula Rate Template (Actuals)</v>
      </c>
      <c r="R2" s="8"/>
      <c r="W2" s="8"/>
    </row>
    <row r="3" spans="1:23" x14ac:dyDescent="0.25">
      <c r="A3" t="s">
        <v>448</v>
      </c>
    </row>
    <row r="4" spans="1:23" x14ac:dyDescent="0.25">
      <c r="A4" t="str">
        <f>"12 Months Ended December 31, "&amp;YEAR('A1 (FF1 Inputs)'!$E$12)</f>
        <v>12 Months Ended December 31, 2020</v>
      </c>
    </row>
    <row r="5" spans="1:23" ht="5.25" customHeight="1" thickBot="1" x14ac:dyDescent="0.3">
      <c r="A5" s="4"/>
      <c r="B5" s="4"/>
      <c r="C5" s="4"/>
      <c r="D5" s="4"/>
      <c r="E5" s="4"/>
      <c r="F5" s="4"/>
      <c r="G5" s="4"/>
      <c r="H5" s="4"/>
      <c r="I5" s="4"/>
      <c r="J5" s="4"/>
      <c r="K5" s="4"/>
      <c r="L5" s="4"/>
      <c r="M5" s="4"/>
      <c r="N5" s="4"/>
      <c r="O5" s="4"/>
      <c r="P5" s="4"/>
      <c r="Q5" s="4"/>
      <c r="R5" s="4"/>
      <c r="S5" s="4"/>
      <c r="T5" s="4"/>
      <c r="U5" s="4"/>
      <c r="V5" s="4"/>
      <c r="W5" s="4"/>
    </row>
    <row r="6" spans="1:23" ht="5.25" customHeight="1" thickTop="1" x14ac:dyDescent="0.25">
      <c r="A6"/>
    </row>
    <row r="7" spans="1:23" s="3" customFormat="1" ht="15.75" customHeight="1" x14ac:dyDescent="0.25">
      <c r="A7" s="266" t="str">
        <f>ln</f>
        <v>Line No.</v>
      </c>
      <c r="B7" s="266" t="s">
        <v>678</v>
      </c>
      <c r="C7" s="266" t="s">
        <v>450</v>
      </c>
      <c r="D7" s="266" t="s">
        <v>451</v>
      </c>
      <c r="E7" s="266" t="s">
        <v>452</v>
      </c>
      <c r="F7" s="270" t="s">
        <v>427</v>
      </c>
      <c r="G7" s="270"/>
      <c r="H7" s="270"/>
      <c r="I7" s="270"/>
      <c r="J7" s="270"/>
      <c r="K7" s="270"/>
      <c r="L7" s="270"/>
      <c r="M7" s="270"/>
      <c r="N7" s="270"/>
      <c r="O7" s="270" t="s">
        <v>427</v>
      </c>
      <c r="P7" s="270"/>
      <c r="Q7" s="270"/>
      <c r="R7" s="270"/>
      <c r="S7" s="266" t="s">
        <v>454</v>
      </c>
      <c r="T7" s="268" t="s">
        <v>393</v>
      </c>
      <c r="U7" s="268"/>
      <c r="V7" s="266" t="s">
        <v>430</v>
      </c>
      <c r="W7" s="266" t="s">
        <v>680</v>
      </c>
    </row>
    <row r="8" spans="1:23" s="3" customFormat="1" x14ac:dyDescent="0.25">
      <c r="A8" s="266"/>
      <c r="B8" s="266"/>
      <c r="C8" s="266"/>
      <c r="D8" s="266"/>
      <c r="E8" s="266"/>
      <c r="F8" s="3" t="str">
        <f>"Dec-"&amp;YEAR('A1 (FF1 Inputs)'!$E$12)-1</f>
        <v>Dec-2019</v>
      </c>
      <c r="G8" s="3" t="str">
        <f>"Jan-"&amp;YEAR('A1 (FF1 Inputs)'!$E$12)</f>
        <v>Jan-2020</v>
      </c>
      <c r="H8" s="3" t="str">
        <f>"Feb-"&amp;YEAR('A1 (FF1 Inputs)'!$E$12)</f>
        <v>Feb-2020</v>
      </c>
      <c r="I8" s="3" t="str">
        <f>"Mar-"&amp;YEAR('A1 (FF1 Inputs)'!$E$12)</f>
        <v>Mar-2020</v>
      </c>
      <c r="J8" s="3" t="str">
        <f>"Apr-"&amp;YEAR('A1 (FF1 Inputs)'!$E$12)</f>
        <v>Apr-2020</v>
      </c>
      <c r="K8" s="3" t="str">
        <f>"May-"&amp;YEAR('A1 (FF1 Inputs)'!$E$12)</f>
        <v>May-2020</v>
      </c>
      <c r="L8" s="3" t="str">
        <f>"Jun-"&amp;YEAR('A1 (FF1 Inputs)'!$E$12)</f>
        <v>Jun-2020</v>
      </c>
      <c r="M8" s="3" t="str">
        <f>"Jul-"&amp;YEAR('A1 (FF1 Inputs)'!$E$12)</f>
        <v>Jul-2020</v>
      </c>
      <c r="N8" s="3" t="str">
        <f>"Aug-"&amp;YEAR('A1 (FF1 Inputs)'!$E$12)</f>
        <v>Aug-2020</v>
      </c>
      <c r="O8" s="3" t="str">
        <f>"Sep-"&amp;YEAR('A1 (FF1 Inputs)'!$E$12)</f>
        <v>Sep-2020</v>
      </c>
      <c r="P8" s="3" t="str">
        <f>"Oct-"&amp;YEAR('A1 (FF1 Inputs)'!$E$12)</f>
        <v>Oct-2020</v>
      </c>
      <c r="Q8" s="3" t="str">
        <f>"Nov-"&amp;YEAR('A1 (FF1 Inputs)'!$E$12)</f>
        <v>Nov-2020</v>
      </c>
      <c r="R8" s="3" t="str">
        <f>"Dec-"&amp;YEAR('A1 (FF1 Inputs)'!$E$12)</f>
        <v>Dec-2020</v>
      </c>
      <c r="S8" s="266"/>
      <c r="T8" s="3" t="s">
        <v>5</v>
      </c>
      <c r="U8" s="3" t="s">
        <v>6</v>
      </c>
      <c r="V8" s="266"/>
      <c r="W8" s="266"/>
    </row>
    <row r="9" spans="1:23" s="1" customFormat="1" ht="31.5"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2" t="s">
        <v>395</v>
      </c>
      <c r="P9" s="2" t="s">
        <v>396</v>
      </c>
      <c r="Q9" s="2" t="s">
        <v>397</v>
      </c>
      <c r="R9" s="2" t="s">
        <v>398</v>
      </c>
      <c r="S9" s="3" t="s">
        <v>453</v>
      </c>
      <c r="T9" s="2" t="s">
        <v>400</v>
      </c>
      <c r="U9" s="2" t="s">
        <v>401</v>
      </c>
      <c r="V9" s="2" t="s">
        <v>455</v>
      </c>
      <c r="W9" s="2" t="s">
        <v>403</v>
      </c>
    </row>
    <row r="10" spans="1:23" ht="5.25" customHeight="1" x14ac:dyDescent="0.25">
      <c r="A10" s="5"/>
      <c r="B10" s="5"/>
      <c r="C10" s="5"/>
      <c r="D10" s="5"/>
      <c r="E10" s="5"/>
      <c r="F10" s="5"/>
      <c r="G10" s="5"/>
      <c r="H10" s="5"/>
      <c r="I10" s="5"/>
      <c r="J10" s="5"/>
      <c r="K10" s="5"/>
      <c r="L10" s="5"/>
      <c r="M10" s="5"/>
      <c r="N10" s="5"/>
      <c r="O10" s="5"/>
      <c r="P10" s="5"/>
      <c r="Q10" s="5"/>
      <c r="R10" s="5"/>
      <c r="S10" s="5"/>
      <c r="T10" s="5"/>
      <c r="U10" s="5"/>
      <c r="V10" s="5"/>
      <c r="W10" s="5"/>
    </row>
    <row r="11" spans="1:23" ht="5.25" customHeight="1" x14ac:dyDescent="0.25">
      <c r="A11"/>
    </row>
    <row r="12" spans="1:23" x14ac:dyDescent="0.25">
      <c r="A12" s="31" t="s">
        <v>411</v>
      </c>
      <c r="B12" s="32" t="s">
        <v>979</v>
      </c>
      <c r="C12" s="173">
        <v>228.32</v>
      </c>
      <c r="D12" s="43">
        <v>1</v>
      </c>
      <c r="E12" s="43">
        <v>1</v>
      </c>
      <c r="F12" s="37">
        <v>0</v>
      </c>
      <c r="G12" s="37">
        <v>0</v>
      </c>
      <c r="H12" s="37">
        <v>0</v>
      </c>
      <c r="I12" s="37">
        <v>0</v>
      </c>
      <c r="J12" s="37">
        <v>0</v>
      </c>
      <c r="K12" s="37">
        <v>0</v>
      </c>
      <c r="L12" s="37">
        <v>0</v>
      </c>
      <c r="M12" s="37">
        <v>0</v>
      </c>
      <c r="N12" s="37">
        <v>0</v>
      </c>
      <c r="O12" s="37">
        <v>0</v>
      </c>
      <c r="P12" s="37">
        <v>0</v>
      </c>
      <c r="Q12" s="37">
        <v>0</v>
      </c>
      <c r="R12" s="37">
        <v>0</v>
      </c>
      <c r="S12" s="41">
        <f>AVERAGE(F12:R12)</f>
        <v>0</v>
      </c>
      <c r="T12" s="31" t="s">
        <v>288</v>
      </c>
      <c r="U12" s="45">
        <f>IFERROR(VLOOKUP(T12,'A22 (Allocation Factors)'!$D:$F,3,0),0)</f>
        <v>0.20882221657345243</v>
      </c>
      <c r="V12" s="41">
        <f>S12*D12*E12*U12</f>
        <v>0</v>
      </c>
      <c r="W12" s="46" t="s">
        <v>996</v>
      </c>
    </row>
    <row r="13" spans="1:23" x14ac:dyDescent="0.25">
      <c r="A13" s="31" t="s">
        <v>412</v>
      </c>
      <c r="B13" s="32" t="s">
        <v>980</v>
      </c>
      <c r="C13" s="173">
        <v>228.32</v>
      </c>
      <c r="D13" s="43">
        <v>1</v>
      </c>
      <c r="E13" s="43">
        <v>1</v>
      </c>
      <c r="F13" s="37">
        <v>0</v>
      </c>
      <c r="G13" s="37">
        <v>0</v>
      </c>
      <c r="H13" s="37">
        <v>0</v>
      </c>
      <c r="I13" s="37">
        <v>0</v>
      </c>
      <c r="J13" s="37">
        <v>0</v>
      </c>
      <c r="K13" s="37">
        <v>0</v>
      </c>
      <c r="L13" s="37">
        <v>0</v>
      </c>
      <c r="M13" s="37">
        <v>0</v>
      </c>
      <c r="N13" s="37">
        <v>0</v>
      </c>
      <c r="O13" s="37">
        <v>0</v>
      </c>
      <c r="P13" s="37">
        <v>0</v>
      </c>
      <c r="Q13" s="37">
        <v>0</v>
      </c>
      <c r="R13" s="37">
        <v>0</v>
      </c>
      <c r="S13" s="41">
        <f>AVERAGE(F13:R13)</f>
        <v>0</v>
      </c>
      <c r="T13" s="31" t="s">
        <v>288</v>
      </c>
      <c r="U13" s="45">
        <f>IFERROR(VLOOKUP(T13,'A22 (Allocation Factors)'!$D:$F,3,0),0)</f>
        <v>0.20882221657345243</v>
      </c>
      <c r="V13" s="41">
        <f t="shared" ref="V13:V34" si="0">S13*D13*E13*U13</f>
        <v>0</v>
      </c>
      <c r="W13" s="46" t="s">
        <v>996</v>
      </c>
    </row>
    <row r="14" spans="1:23" x14ac:dyDescent="0.25">
      <c r="A14" s="31" t="s">
        <v>413</v>
      </c>
      <c r="B14" s="32" t="s">
        <v>981</v>
      </c>
      <c r="C14" s="173">
        <v>228.32</v>
      </c>
      <c r="D14" s="43">
        <v>1</v>
      </c>
      <c r="E14" s="43">
        <v>1</v>
      </c>
      <c r="F14" s="37">
        <v>0</v>
      </c>
      <c r="G14" s="37">
        <v>0</v>
      </c>
      <c r="H14" s="37">
        <v>0</v>
      </c>
      <c r="I14" s="37">
        <v>0</v>
      </c>
      <c r="J14" s="37">
        <v>0</v>
      </c>
      <c r="K14" s="37">
        <v>0</v>
      </c>
      <c r="L14" s="37">
        <v>0</v>
      </c>
      <c r="M14" s="37">
        <v>0</v>
      </c>
      <c r="N14" s="37">
        <v>0</v>
      </c>
      <c r="O14" s="37">
        <v>0</v>
      </c>
      <c r="P14" s="37">
        <v>0</v>
      </c>
      <c r="Q14" s="37">
        <v>0</v>
      </c>
      <c r="R14" s="37">
        <v>0</v>
      </c>
      <c r="S14" s="41">
        <f t="shared" ref="S14:S33" si="1">AVERAGE(F14:R14)</f>
        <v>0</v>
      </c>
      <c r="T14" s="31" t="s">
        <v>288</v>
      </c>
      <c r="U14" s="45">
        <f>IFERROR(VLOOKUP(T14,'A22 (Allocation Factors)'!$D:$F,3,0),0)</f>
        <v>0.20882221657345243</v>
      </c>
      <c r="V14" s="41">
        <f t="shared" si="0"/>
        <v>0</v>
      </c>
      <c r="W14" s="46" t="s">
        <v>996</v>
      </c>
    </row>
    <row r="15" spans="1:23" x14ac:dyDescent="0.25">
      <c r="A15" s="31" t="s">
        <v>456</v>
      </c>
      <c r="B15" s="32" t="s">
        <v>982</v>
      </c>
      <c r="C15" s="173">
        <v>228.32</v>
      </c>
      <c r="D15" s="43">
        <v>1</v>
      </c>
      <c r="E15" s="43">
        <v>1</v>
      </c>
      <c r="F15" s="37">
        <v>0</v>
      </c>
      <c r="G15" s="37">
        <v>0</v>
      </c>
      <c r="H15" s="37">
        <v>0</v>
      </c>
      <c r="I15" s="37">
        <v>0</v>
      </c>
      <c r="J15" s="37">
        <v>0</v>
      </c>
      <c r="K15" s="37">
        <v>0</v>
      </c>
      <c r="L15" s="37">
        <v>0</v>
      </c>
      <c r="M15" s="37">
        <v>0</v>
      </c>
      <c r="N15" s="37">
        <v>0</v>
      </c>
      <c r="O15" s="37">
        <v>0</v>
      </c>
      <c r="P15" s="37">
        <v>0</v>
      </c>
      <c r="Q15" s="37">
        <v>0</v>
      </c>
      <c r="R15" s="37">
        <v>0</v>
      </c>
      <c r="S15" s="41">
        <f t="shared" si="1"/>
        <v>0</v>
      </c>
      <c r="T15" s="31" t="s">
        <v>288</v>
      </c>
      <c r="U15" s="45">
        <f>IFERROR(VLOOKUP(T15,'A22 (Allocation Factors)'!$D:$F,3,0),0)</f>
        <v>0.20882221657345243</v>
      </c>
      <c r="V15" s="41">
        <f t="shared" si="0"/>
        <v>0</v>
      </c>
      <c r="W15" s="46" t="s">
        <v>996</v>
      </c>
    </row>
    <row r="16" spans="1:23" x14ac:dyDescent="0.25">
      <c r="A16" s="31" t="s">
        <v>457</v>
      </c>
      <c r="B16" s="32" t="s">
        <v>983</v>
      </c>
      <c r="C16" s="173">
        <v>228.32</v>
      </c>
      <c r="D16" s="43">
        <v>1</v>
      </c>
      <c r="E16" s="43">
        <v>1</v>
      </c>
      <c r="F16" s="37">
        <v>0</v>
      </c>
      <c r="G16" s="37">
        <v>0</v>
      </c>
      <c r="H16" s="37">
        <v>0</v>
      </c>
      <c r="I16" s="37">
        <v>0</v>
      </c>
      <c r="J16" s="37">
        <v>0</v>
      </c>
      <c r="K16" s="37">
        <v>0</v>
      </c>
      <c r="L16" s="37">
        <v>0</v>
      </c>
      <c r="M16" s="37">
        <v>0</v>
      </c>
      <c r="N16" s="37">
        <v>0</v>
      </c>
      <c r="O16" s="37">
        <v>0</v>
      </c>
      <c r="P16" s="37">
        <v>0</v>
      </c>
      <c r="Q16" s="37">
        <v>0</v>
      </c>
      <c r="R16" s="37">
        <v>0</v>
      </c>
      <c r="S16" s="41">
        <f t="shared" si="1"/>
        <v>0</v>
      </c>
      <c r="T16" s="31" t="s">
        <v>288</v>
      </c>
      <c r="U16" s="45">
        <f>IFERROR(VLOOKUP(T16,'A22 (Allocation Factors)'!$D:$F,3,0),0)</f>
        <v>0.20882221657345243</v>
      </c>
      <c r="V16" s="41">
        <f t="shared" si="0"/>
        <v>0</v>
      </c>
      <c r="W16" s="46" t="s">
        <v>996</v>
      </c>
    </row>
    <row r="17" spans="1:23" x14ac:dyDescent="0.25">
      <c r="A17" s="31" t="s">
        <v>458</v>
      </c>
      <c r="B17" s="32" t="s">
        <v>984</v>
      </c>
      <c r="C17" s="173">
        <v>228.32</v>
      </c>
      <c r="D17" s="43">
        <v>1</v>
      </c>
      <c r="E17" s="43">
        <v>1</v>
      </c>
      <c r="F17" s="37">
        <v>0</v>
      </c>
      <c r="G17" s="37">
        <v>0</v>
      </c>
      <c r="H17" s="37">
        <v>0</v>
      </c>
      <c r="I17" s="37">
        <v>0</v>
      </c>
      <c r="J17" s="37">
        <v>0</v>
      </c>
      <c r="K17" s="37">
        <v>0</v>
      </c>
      <c r="L17" s="37">
        <v>0</v>
      </c>
      <c r="M17" s="37">
        <v>0</v>
      </c>
      <c r="N17" s="37">
        <v>0</v>
      </c>
      <c r="O17" s="37">
        <v>0</v>
      </c>
      <c r="P17" s="37">
        <v>0</v>
      </c>
      <c r="Q17" s="37">
        <v>0</v>
      </c>
      <c r="R17" s="37">
        <v>0</v>
      </c>
      <c r="S17" s="41">
        <f t="shared" si="1"/>
        <v>0</v>
      </c>
      <c r="T17" s="31" t="s">
        <v>288</v>
      </c>
      <c r="U17" s="45">
        <f>IFERROR(VLOOKUP(T17,'A22 (Allocation Factors)'!$D:$F,3,0),0)</f>
        <v>0.20882221657345243</v>
      </c>
      <c r="V17" s="41">
        <f t="shared" si="0"/>
        <v>0</v>
      </c>
      <c r="W17" s="46" t="s">
        <v>996</v>
      </c>
    </row>
    <row r="18" spans="1:23" x14ac:dyDescent="0.25">
      <c r="A18" s="31" t="s">
        <v>459</v>
      </c>
      <c r="B18" s="32" t="s">
        <v>985</v>
      </c>
      <c r="C18" s="173">
        <v>228.32</v>
      </c>
      <c r="D18" s="43">
        <v>1</v>
      </c>
      <c r="E18" s="43">
        <v>1</v>
      </c>
      <c r="F18" s="37">
        <v>0</v>
      </c>
      <c r="G18" s="37">
        <v>0</v>
      </c>
      <c r="H18" s="37">
        <v>0</v>
      </c>
      <c r="I18" s="37">
        <v>0</v>
      </c>
      <c r="J18" s="37">
        <v>0</v>
      </c>
      <c r="K18" s="37">
        <v>0</v>
      </c>
      <c r="L18" s="37">
        <v>0</v>
      </c>
      <c r="M18" s="37">
        <v>0</v>
      </c>
      <c r="N18" s="37">
        <v>0</v>
      </c>
      <c r="O18" s="37">
        <v>0</v>
      </c>
      <c r="P18" s="37">
        <v>0</v>
      </c>
      <c r="Q18" s="37">
        <v>0</v>
      </c>
      <c r="R18" s="37">
        <v>0</v>
      </c>
      <c r="S18" s="41">
        <f t="shared" si="1"/>
        <v>0</v>
      </c>
      <c r="T18" s="31" t="s">
        <v>288</v>
      </c>
      <c r="U18" s="45">
        <f>IFERROR(VLOOKUP(T18,'A22 (Allocation Factors)'!$D:$F,3,0),0)</f>
        <v>0.20882221657345243</v>
      </c>
      <c r="V18" s="41">
        <f t="shared" si="0"/>
        <v>0</v>
      </c>
      <c r="W18" s="46" t="s">
        <v>996</v>
      </c>
    </row>
    <row r="19" spans="1:23" x14ac:dyDescent="0.25">
      <c r="A19" s="31" t="s">
        <v>460</v>
      </c>
      <c r="B19" s="32" t="s">
        <v>986</v>
      </c>
      <c r="C19" s="31">
        <v>232.001</v>
      </c>
      <c r="D19" s="43">
        <v>1</v>
      </c>
      <c r="E19" s="43">
        <v>1</v>
      </c>
      <c r="F19" s="37">
        <v>0</v>
      </c>
      <c r="G19" s="37">
        <v>0</v>
      </c>
      <c r="H19" s="37">
        <v>0</v>
      </c>
      <c r="I19" s="37">
        <v>0</v>
      </c>
      <c r="J19" s="37">
        <v>0</v>
      </c>
      <c r="K19" s="37">
        <v>0</v>
      </c>
      <c r="L19" s="37">
        <v>0</v>
      </c>
      <c r="M19" s="37">
        <v>0</v>
      </c>
      <c r="N19" s="37">
        <v>0</v>
      </c>
      <c r="O19" s="37">
        <v>0</v>
      </c>
      <c r="P19" s="37">
        <v>0</v>
      </c>
      <c r="Q19" s="37">
        <v>0</v>
      </c>
      <c r="R19" s="37">
        <v>0</v>
      </c>
      <c r="S19" s="41">
        <f t="shared" si="1"/>
        <v>0</v>
      </c>
      <c r="T19" s="31" t="s">
        <v>288</v>
      </c>
      <c r="U19" s="45">
        <f>IFERROR(VLOOKUP(T19,'A22 (Allocation Factors)'!$D:$F,3,0),0)</f>
        <v>0.20882221657345243</v>
      </c>
      <c r="V19" s="41">
        <f t="shared" si="0"/>
        <v>0</v>
      </c>
      <c r="W19" s="46" t="s">
        <v>996</v>
      </c>
    </row>
    <row r="20" spans="1:23" x14ac:dyDescent="0.25">
      <c r="A20" s="31" t="s">
        <v>461</v>
      </c>
      <c r="B20" s="32" t="s">
        <v>987</v>
      </c>
      <c r="C20" s="31">
        <v>232.001</v>
      </c>
      <c r="D20" s="43">
        <v>1</v>
      </c>
      <c r="E20" s="43">
        <v>1</v>
      </c>
      <c r="F20" s="37">
        <v>0</v>
      </c>
      <c r="G20" s="37">
        <v>0</v>
      </c>
      <c r="H20" s="37">
        <v>0</v>
      </c>
      <c r="I20" s="37">
        <v>0</v>
      </c>
      <c r="J20" s="37">
        <v>0</v>
      </c>
      <c r="K20" s="37">
        <v>0</v>
      </c>
      <c r="L20" s="37">
        <v>0</v>
      </c>
      <c r="M20" s="37">
        <v>0</v>
      </c>
      <c r="N20" s="37">
        <v>0</v>
      </c>
      <c r="O20" s="37">
        <v>0</v>
      </c>
      <c r="P20" s="37">
        <v>0</v>
      </c>
      <c r="Q20" s="37">
        <v>0</v>
      </c>
      <c r="R20" s="37">
        <v>0</v>
      </c>
      <c r="S20" s="41">
        <f t="shared" si="1"/>
        <v>0</v>
      </c>
      <c r="T20" s="31" t="s">
        <v>288</v>
      </c>
      <c r="U20" s="45">
        <f>IFERROR(VLOOKUP(T20,'A22 (Allocation Factors)'!$D:$F,3,0),0)</f>
        <v>0.20882221657345243</v>
      </c>
      <c r="V20" s="41">
        <f t="shared" si="0"/>
        <v>0</v>
      </c>
      <c r="W20" s="46" t="s">
        <v>996</v>
      </c>
    </row>
    <row r="21" spans="1:23" x14ac:dyDescent="0.25">
      <c r="A21" s="31" t="s">
        <v>462</v>
      </c>
      <c r="B21" s="32" t="s">
        <v>988</v>
      </c>
      <c r="C21" s="31">
        <v>232.001</v>
      </c>
      <c r="D21" s="43">
        <v>1</v>
      </c>
      <c r="E21" s="43">
        <v>1</v>
      </c>
      <c r="F21" s="37">
        <v>0</v>
      </c>
      <c r="G21" s="37">
        <v>0</v>
      </c>
      <c r="H21" s="37">
        <v>0</v>
      </c>
      <c r="I21" s="37">
        <v>0</v>
      </c>
      <c r="J21" s="37">
        <v>0</v>
      </c>
      <c r="K21" s="37">
        <v>0</v>
      </c>
      <c r="L21" s="37">
        <v>0</v>
      </c>
      <c r="M21" s="37">
        <v>0</v>
      </c>
      <c r="N21" s="37">
        <v>0</v>
      </c>
      <c r="O21" s="37">
        <v>0</v>
      </c>
      <c r="P21" s="37">
        <v>0</v>
      </c>
      <c r="Q21" s="37">
        <v>0</v>
      </c>
      <c r="R21" s="37">
        <v>0</v>
      </c>
      <c r="S21" s="41">
        <f t="shared" si="1"/>
        <v>0</v>
      </c>
      <c r="T21" s="31" t="s">
        <v>288</v>
      </c>
      <c r="U21" s="45">
        <f>IFERROR(VLOOKUP(T21,'A22 (Allocation Factors)'!$D:$F,3,0),0)</f>
        <v>0.20882221657345243</v>
      </c>
      <c r="V21" s="41">
        <f t="shared" si="0"/>
        <v>0</v>
      </c>
      <c r="W21" s="46" t="s">
        <v>996</v>
      </c>
    </row>
    <row r="22" spans="1:23" x14ac:dyDescent="0.25">
      <c r="A22" s="31" t="s">
        <v>463</v>
      </c>
      <c r="B22" s="32" t="s">
        <v>989</v>
      </c>
      <c r="C22" s="31">
        <v>232.001</v>
      </c>
      <c r="D22" s="43">
        <v>1</v>
      </c>
      <c r="E22" s="43">
        <v>1</v>
      </c>
      <c r="F22" s="37">
        <v>0</v>
      </c>
      <c r="G22" s="37">
        <v>0</v>
      </c>
      <c r="H22" s="37">
        <v>0</v>
      </c>
      <c r="I22" s="37">
        <v>0</v>
      </c>
      <c r="J22" s="37">
        <v>0</v>
      </c>
      <c r="K22" s="37">
        <v>0</v>
      </c>
      <c r="L22" s="37">
        <v>0</v>
      </c>
      <c r="M22" s="37">
        <v>0</v>
      </c>
      <c r="N22" s="37">
        <v>0</v>
      </c>
      <c r="O22" s="37">
        <v>0</v>
      </c>
      <c r="P22" s="37">
        <v>0</v>
      </c>
      <c r="Q22" s="37">
        <v>0</v>
      </c>
      <c r="R22" s="37">
        <v>0</v>
      </c>
      <c r="S22" s="41">
        <f t="shared" si="1"/>
        <v>0</v>
      </c>
      <c r="T22" s="31" t="s">
        <v>288</v>
      </c>
      <c r="U22" s="45">
        <f>IFERROR(VLOOKUP(T22,'A22 (Allocation Factors)'!$D:$F,3,0),0)</f>
        <v>0.20882221657345243</v>
      </c>
      <c r="V22" s="41">
        <f t="shared" si="0"/>
        <v>0</v>
      </c>
      <c r="W22" s="46" t="s">
        <v>996</v>
      </c>
    </row>
    <row r="23" spans="1:23" x14ac:dyDescent="0.25">
      <c r="A23" s="31" t="s">
        <v>464</v>
      </c>
      <c r="B23" s="32" t="s">
        <v>990</v>
      </c>
      <c r="C23" s="31">
        <v>232.001</v>
      </c>
      <c r="D23" s="43">
        <v>1</v>
      </c>
      <c r="E23" s="43">
        <v>1</v>
      </c>
      <c r="F23" s="37">
        <v>0</v>
      </c>
      <c r="G23" s="37">
        <v>0</v>
      </c>
      <c r="H23" s="37">
        <v>0</v>
      </c>
      <c r="I23" s="37">
        <v>0</v>
      </c>
      <c r="J23" s="37">
        <v>0</v>
      </c>
      <c r="K23" s="37">
        <v>0</v>
      </c>
      <c r="L23" s="37">
        <v>0</v>
      </c>
      <c r="M23" s="37">
        <v>0</v>
      </c>
      <c r="N23" s="37">
        <v>0</v>
      </c>
      <c r="O23" s="37">
        <v>0</v>
      </c>
      <c r="P23" s="37">
        <v>0</v>
      </c>
      <c r="Q23" s="37">
        <v>0</v>
      </c>
      <c r="R23" s="37">
        <v>0</v>
      </c>
      <c r="S23" s="41">
        <f t="shared" si="1"/>
        <v>0</v>
      </c>
      <c r="T23" s="31" t="s">
        <v>288</v>
      </c>
      <c r="U23" s="45">
        <f>IFERROR(VLOOKUP(T23,'A22 (Allocation Factors)'!$D:$F,3,0),0)</f>
        <v>0.20882221657345243</v>
      </c>
      <c r="V23" s="41">
        <f t="shared" si="0"/>
        <v>0</v>
      </c>
      <c r="W23" s="46" t="s">
        <v>996</v>
      </c>
    </row>
    <row r="24" spans="1:23" x14ac:dyDescent="0.25">
      <c r="A24" s="31" t="s">
        <v>465</v>
      </c>
      <c r="B24" s="32" t="s">
        <v>991</v>
      </c>
      <c r="C24" s="31">
        <v>232.001</v>
      </c>
      <c r="D24" s="43">
        <v>1</v>
      </c>
      <c r="E24" s="43">
        <v>1</v>
      </c>
      <c r="F24" s="37">
        <v>0</v>
      </c>
      <c r="G24" s="37">
        <v>0</v>
      </c>
      <c r="H24" s="37">
        <v>0</v>
      </c>
      <c r="I24" s="37">
        <v>0</v>
      </c>
      <c r="J24" s="37">
        <v>0</v>
      </c>
      <c r="K24" s="37">
        <v>0</v>
      </c>
      <c r="L24" s="37">
        <v>0</v>
      </c>
      <c r="M24" s="37">
        <v>0</v>
      </c>
      <c r="N24" s="37">
        <v>0</v>
      </c>
      <c r="O24" s="37">
        <v>0</v>
      </c>
      <c r="P24" s="37">
        <v>0</v>
      </c>
      <c r="Q24" s="37">
        <v>0</v>
      </c>
      <c r="R24" s="37">
        <v>0</v>
      </c>
      <c r="S24" s="41">
        <f t="shared" si="1"/>
        <v>0</v>
      </c>
      <c r="T24" s="31" t="s">
        <v>288</v>
      </c>
      <c r="U24" s="45">
        <f>IFERROR(VLOOKUP(T24,'A22 (Allocation Factors)'!$D:$F,3,0),0)</f>
        <v>0.20882221657345243</v>
      </c>
      <c r="V24" s="41">
        <f t="shared" si="0"/>
        <v>0</v>
      </c>
      <c r="W24" s="46" t="s">
        <v>996</v>
      </c>
    </row>
    <row r="25" spans="1:23" x14ac:dyDescent="0.25">
      <c r="A25" s="31" t="s">
        <v>466</v>
      </c>
      <c r="B25" s="32" t="s">
        <v>992</v>
      </c>
      <c r="C25" s="31">
        <v>232.00299999999999</v>
      </c>
      <c r="D25" s="43">
        <v>1</v>
      </c>
      <c r="E25" s="43">
        <v>1</v>
      </c>
      <c r="F25" s="37">
        <v>0</v>
      </c>
      <c r="G25" s="37">
        <v>0</v>
      </c>
      <c r="H25" s="37">
        <v>0</v>
      </c>
      <c r="I25" s="37">
        <v>0</v>
      </c>
      <c r="J25" s="37">
        <v>0</v>
      </c>
      <c r="K25" s="37">
        <v>0</v>
      </c>
      <c r="L25" s="37">
        <v>0</v>
      </c>
      <c r="M25" s="37">
        <v>0</v>
      </c>
      <c r="N25" s="37">
        <v>0</v>
      </c>
      <c r="O25" s="37">
        <v>0</v>
      </c>
      <c r="P25" s="37">
        <v>0</v>
      </c>
      <c r="Q25" s="37">
        <v>0</v>
      </c>
      <c r="R25" s="37">
        <v>0</v>
      </c>
      <c r="S25" s="41">
        <f t="shared" si="1"/>
        <v>0</v>
      </c>
      <c r="T25" s="31" t="s">
        <v>288</v>
      </c>
      <c r="U25" s="45">
        <f>IFERROR(VLOOKUP(T25,'A22 (Allocation Factors)'!$D:$F,3,0),0)</f>
        <v>0.20882221657345243</v>
      </c>
      <c r="V25" s="41">
        <f t="shared" si="0"/>
        <v>0</v>
      </c>
      <c r="W25" s="46" t="s">
        <v>996</v>
      </c>
    </row>
    <row r="26" spans="1:23" x14ac:dyDescent="0.25">
      <c r="A26" s="31" t="s">
        <v>467</v>
      </c>
      <c r="B26" s="32" t="s">
        <v>993</v>
      </c>
      <c r="C26" s="31">
        <v>232.00399999999999</v>
      </c>
      <c r="D26" s="43">
        <v>1</v>
      </c>
      <c r="E26" s="43">
        <v>1</v>
      </c>
      <c r="F26" s="37">
        <v>0</v>
      </c>
      <c r="G26" s="37">
        <v>0</v>
      </c>
      <c r="H26" s="37">
        <v>0</v>
      </c>
      <c r="I26" s="37">
        <v>0</v>
      </c>
      <c r="J26" s="37">
        <v>0</v>
      </c>
      <c r="K26" s="37">
        <v>0</v>
      </c>
      <c r="L26" s="37">
        <v>0</v>
      </c>
      <c r="M26" s="37">
        <v>0</v>
      </c>
      <c r="N26" s="37">
        <v>0</v>
      </c>
      <c r="O26" s="37">
        <v>0</v>
      </c>
      <c r="P26" s="37">
        <v>0</v>
      </c>
      <c r="Q26" s="37">
        <v>0</v>
      </c>
      <c r="R26" s="37">
        <v>0</v>
      </c>
      <c r="S26" s="41">
        <f t="shared" si="1"/>
        <v>0</v>
      </c>
      <c r="T26" s="31" t="s">
        <v>288</v>
      </c>
      <c r="U26" s="45">
        <f>IFERROR(VLOOKUP(T26,'A22 (Allocation Factors)'!$D:$F,3,0),0)</f>
        <v>0.20882221657345243</v>
      </c>
      <c r="V26" s="41">
        <f t="shared" si="0"/>
        <v>0</v>
      </c>
      <c r="W26" s="46" t="s">
        <v>996</v>
      </c>
    </row>
    <row r="27" spans="1:23" x14ac:dyDescent="0.25">
      <c r="A27" s="31" t="s">
        <v>468</v>
      </c>
      <c r="B27" s="32" t="s">
        <v>993</v>
      </c>
      <c r="C27" s="173">
        <v>242</v>
      </c>
      <c r="D27" s="43">
        <v>1</v>
      </c>
      <c r="E27" s="43">
        <v>1</v>
      </c>
      <c r="F27" s="37">
        <v>0</v>
      </c>
      <c r="G27" s="37">
        <v>0</v>
      </c>
      <c r="H27" s="37">
        <v>0</v>
      </c>
      <c r="I27" s="37">
        <v>0</v>
      </c>
      <c r="J27" s="37">
        <v>0</v>
      </c>
      <c r="K27" s="37">
        <v>0</v>
      </c>
      <c r="L27" s="37">
        <v>0</v>
      </c>
      <c r="M27" s="37">
        <v>0</v>
      </c>
      <c r="N27" s="37">
        <v>0</v>
      </c>
      <c r="O27" s="37">
        <v>0</v>
      </c>
      <c r="P27" s="37">
        <v>0</v>
      </c>
      <c r="Q27" s="37">
        <v>0</v>
      </c>
      <c r="R27" s="37">
        <v>0</v>
      </c>
      <c r="S27" s="41">
        <f t="shared" si="1"/>
        <v>0</v>
      </c>
      <c r="T27" s="31" t="s">
        <v>288</v>
      </c>
      <c r="U27" s="45">
        <f>IFERROR(VLOOKUP(T27,'A22 (Allocation Factors)'!$D:$F,3,0),0)</f>
        <v>0.20882221657345243</v>
      </c>
      <c r="V27" s="41">
        <f t="shared" si="0"/>
        <v>0</v>
      </c>
      <c r="W27" s="46" t="s">
        <v>996</v>
      </c>
    </row>
    <row r="28" spans="1:23" x14ac:dyDescent="0.25">
      <c r="A28" s="31" t="s">
        <v>469</v>
      </c>
      <c r="B28" s="32" t="s">
        <v>984</v>
      </c>
      <c r="C28" s="173">
        <v>242</v>
      </c>
      <c r="D28" s="43">
        <v>1</v>
      </c>
      <c r="E28" s="43">
        <v>1</v>
      </c>
      <c r="F28" s="37">
        <v>0</v>
      </c>
      <c r="G28" s="37">
        <v>0</v>
      </c>
      <c r="H28" s="37">
        <v>0</v>
      </c>
      <c r="I28" s="37">
        <v>0</v>
      </c>
      <c r="J28" s="37">
        <v>0</v>
      </c>
      <c r="K28" s="37">
        <v>0</v>
      </c>
      <c r="L28" s="37">
        <v>0</v>
      </c>
      <c r="M28" s="37">
        <v>0</v>
      </c>
      <c r="N28" s="37">
        <v>0</v>
      </c>
      <c r="O28" s="37">
        <v>0</v>
      </c>
      <c r="P28" s="37">
        <v>0</v>
      </c>
      <c r="Q28" s="37">
        <v>0</v>
      </c>
      <c r="R28" s="37">
        <v>0</v>
      </c>
      <c r="S28" s="41">
        <f t="shared" si="1"/>
        <v>0</v>
      </c>
      <c r="T28" s="31" t="s">
        <v>288</v>
      </c>
      <c r="U28" s="45">
        <f>IFERROR(VLOOKUP(T28,'A22 (Allocation Factors)'!$D:$F,3,0),0)</f>
        <v>0.20882221657345243</v>
      </c>
      <c r="V28" s="41">
        <f t="shared" si="0"/>
        <v>0</v>
      </c>
      <c r="W28" s="46" t="s">
        <v>996</v>
      </c>
    </row>
    <row r="29" spans="1:23" x14ac:dyDescent="0.25">
      <c r="A29" s="31" t="s">
        <v>470</v>
      </c>
      <c r="B29" s="32" t="s">
        <v>985</v>
      </c>
      <c r="C29" s="173">
        <v>242</v>
      </c>
      <c r="D29" s="43">
        <v>1</v>
      </c>
      <c r="E29" s="43">
        <v>1</v>
      </c>
      <c r="F29" s="37">
        <v>0</v>
      </c>
      <c r="G29" s="37">
        <v>0</v>
      </c>
      <c r="H29" s="37">
        <v>0</v>
      </c>
      <c r="I29" s="37">
        <v>0</v>
      </c>
      <c r="J29" s="37">
        <v>0</v>
      </c>
      <c r="K29" s="37">
        <v>0</v>
      </c>
      <c r="L29" s="37">
        <v>0</v>
      </c>
      <c r="M29" s="37">
        <v>0</v>
      </c>
      <c r="N29" s="37">
        <v>0</v>
      </c>
      <c r="O29" s="37">
        <v>0</v>
      </c>
      <c r="P29" s="37">
        <v>0</v>
      </c>
      <c r="Q29" s="37">
        <v>0</v>
      </c>
      <c r="R29" s="37">
        <v>0</v>
      </c>
      <c r="S29" s="41">
        <f t="shared" si="1"/>
        <v>0</v>
      </c>
      <c r="T29" s="31" t="s">
        <v>288</v>
      </c>
      <c r="U29" s="45">
        <f>IFERROR(VLOOKUP(T29,'A22 (Allocation Factors)'!$D:$F,3,0),0)</f>
        <v>0.20882221657345243</v>
      </c>
      <c r="V29" s="41">
        <f t="shared" si="0"/>
        <v>0</v>
      </c>
      <c r="W29" s="46" t="s">
        <v>996</v>
      </c>
    </row>
    <row r="30" spans="1:23" x14ac:dyDescent="0.25">
      <c r="A30" s="31" t="s">
        <v>471</v>
      </c>
      <c r="B30" s="32" t="s">
        <v>988</v>
      </c>
      <c r="C30" s="173">
        <v>242</v>
      </c>
      <c r="D30" s="43">
        <v>1</v>
      </c>
      <c r="E30" s="43">
        <v>1</v>
      </c>
      <c r="F30" s="37">
        <v>0</v>
      </c>
      <c r="G30" s="37">
        <v>0</v>
      </c>
      <c r="H30" s="37">
        <v>0</v>
      </c>
      <c r="I30" s="37">
        <v>0</v>
      </c>
      <c r="J30" s="37">
        <v>0</v>
      </c>
      <c r="K30" s="37">
        <v>0</v>
      </c>
      <c r="L30" s="37">
        <v>0</v>
      </c>
      <c r="M30" s="37">
        <v>0</v>
      </c>
      <c r="N30" s="37">
        <v>0</v>
      </c>
      <c r="O30" s="37">
        <v>0</v>
      </c>
      <c r="P30" s="37">
        <v>0</v>
      </c>
      <c r="Q30" s="37">
        <v>0</v>
      </c>
      <c r="R30" s="37">
        <v>0</v>
      </c>
      <c r="S30" s="41">
        <f t="shared" si="1"/>
        <v>0</v>
      </c>
      <c r="T30" s="31" t="s">
        <v>288</v>
      </c>
      <c r="U30" s="45">
        <f>IFERROR(VLOOKUP(T30,'A22 (Allocation Factors)'!$D:$F,3,0),0)</f>
        <v>0.20882221657345243</v>
      </c>
      <c r="V30" s="41">
        <f t="shared" si="0"/>
        <v>0</v>
      </c>
      <c r="W30" s="46" t="s">
        <v>996</v>
      </c>
    </row>
    <row r="31" spans="1:23" x14ac:dyDescent="0.25">
      <c r="A31" s="31" t="s">
        <v>472</v>
      </c>
      <c r="B31" s="32" t="s">
        <v>994</v>
      </c>
      <c r="C31" s="173">
        <v>242</v>
      </c>
      <c r="D31" s="43">
        <v>1</v>
      </c>
      <c r="E31" s="43">
        <v>1</v>
      </c>
      <c r="F31" s="37">
        <v>0</v>
      </c>
      <c r="G31" s="37">
        <v>0</v>
      </c>
      <c r="H31" s="37">
        <v>0</v>
      </c>
      <c r="I31" s="37">
        <v>0</v>
      </c>
      <c r="J31" s="37">
        <v>0</v>
      </c>
      <c r="K31" s="37">
        <v>0</v>
      </c>
      <c r="L31" s="37">
        <v>0</v>
      </c>
      <c r="M31" s="37">
        <v>0</v>
      </c>
      <c r="N31" s="37">
        <v>0</v>
      </c>
      <c r="O31" s="37">
        <v>0</v>
      </c>
      <c r="P31" s="37">
        <v>0</v>
      </c>
      <c r="Q31" s="37">
        <v>0</v>
      </c>
      <c r="R31" s="37">
        <v>0</v>
      </c>
      <c r="S31" s="41">
        <f t="shared" si="1"/>
        <v>0</v>
      </c>
      <c r="T31" s="31" t="s">
        <v>288</v>
      </c>
      <c r="U31" s="45">
        <f>IFERROR(VLOOKUP(T31,'A22 (Allocation Factors)'!$D:$F,3,0),0)</f>
        <v>0.20882221657345243</v>
      </c>
      <c r="V31" s="41">
        <f t="shared" si="0"/>
        <v>0</v>
      </c>
      <c r="W31" s="46" t="s">
        <v>996</v>
      </c>
    </row>
    <row r="32" spans="1:23" x14ac:dyDescent="0.25">
      <c r="A32" s="31" t="s">
        <v>473</v>
      </c>
      <c r="B32" s="32" t="s">
        <v>995</v>
      </c>
      <c r="C32" s="173">
        <v>242</v>
      </c>
      <c r="D32" s="43">
        <v>1</v>
      </c>
      <c r="E32" s="43">
        <v>1</v>
      </c>
      <c r="F32" s="37">
        <v>0</v>
      </c>
      <c r="G32" s="37">
        <v>0</v>
      </c>
      <c r="H32" s="37">
        <v>0</v>
      </c>
      <c r="I32" s="37">
        <v>0</v>
      </c>
      <c r="J32" s="37">
        <v>0</v>
      </c>
      <c r="K32" s="37">
        <v>0</v>
      </c>
      <c r="L32" s="37">
        <v>0</v>
      </c>
      <c r="M32" s="37">
        <v>0</v>
      </c>
      <c r="N32" s="37">
        <v>0</v>
      </c>
      <c r="O32" s="37">
        <v>0</v>
      </c>
      <c r="P32" s="37">
        <v>0</v>
      </c>
      <c r="Q32" s="37">
        <v>0</v>
      </c>
      <c r="R32" s="37">
        <v>0</v>
      </c>
      <c r="S32" s="41">
        <f t="shared" si="1"/>
        <v>0</v>
      </c>
      <c r="T32" s="31" t="s">
        <v>288</v>
      </c>
      <c r="U32" s="45">
        <f>IFERROR(VLOOKUP(T32,'A22 (Allocation Factors)'!$D:$F,3,0),0)</f>
        <v>0.20882221657345243</v>
      </c>
      <c r="V32" s="41">
        <f t="shared" si="0"/>
        <v>0</v>
      </c>
      <c r="W32" s="46" t="s">
        <v>996</v>
      </c>
    </row>
    <row r="33" spans="1:23" x14ac:dyDescent="0.25">
      <c r="A33" s="31" t="s">
        <v>357</v>
      </c>
      <c r="B33" s="32" t="s">
        <v>357</v>
      </c>
      <c r="C33" s="31" t="s">
        <v>357</v>
      </c>
      <c r="D33" s="43">
        <v>0</v>
      </c>
      <c r="E33" s="43">
        <v>0</v>
      </c>
      <c r="F33" s="37">
        <v>0</v>
      </c>
      <c r="G33" s="37">
        <v>0</v>
      </c>
      <c r="H33" s="37">
        <v>0</v>
      </c>
      <c r="I33" s="37">
        <v>0</v>
      </c>
      <c r="J33" s="37">
        <v>0</v>
      </c>
      <c r="K33" s="37">
        <v>0</v>
      </c>
      <c r="L33" s="37">
        <v>0</v>
      </c>
      <c r="M33" s="37">
        <v>0</v>
      </c>
      <c r="N33" s="37">
        <v>0</v>
      </c>
      <c r="O33" s="37">
        <v>0</v>
      </c>
      <c r="P33" s="37">
        <v>0</v>
      </c>
      <c r="Q33" s="37">
        <v>0</v>
      </c>
      <c r="R33" s="37">
        <v>0</v>
      </c>
      <c r="S33" s="41">
        <f t="shared" si="1"/>
        <v>0</v>
      </c>
      <c r="T33" s="31" t="s">
        <v>357</v>
      </c>
      <c r="U33" s="45">
        <f>IFERROR(VLOOKUP(T33,'A22 (Allocation Factors)'!$D:$F,3,0),0)</f>
        <v>0</v>
      </c>
      <c r="V33" s="41">
        <f t="shared" si="0"/>
        <v>0</v>
      </c>
      <c r="W33" s="46" t="s">
        <v>357</v>
      </c>
    </row>
    <row r="34" spans="1:23" x14ac:dyDescent="0.25">
      <c r="A34" s="1" t="s">
        <v>478</v>
      </c>
      <c r="B34" s="104" t="s">
        <v>357</v>
      </c>
      <c r="C34" s="73" t="s">
        <v>357</v>
      </c>
      <c r="D34" s="105">
        <v>0</v>
      </c>
      <c r="E34" s="105">
        <v>0</v>
      </c>
      <c r="F34" s="37">
        <v>0</v>
      </c>
      <c r="G34" s="37">
        <v>0</v>
      </c>
      <c r="H34" s="37">
        <v>0</v>
      </c>
      <c r="I34" s="37">
        <v>0</v>
      </c>
      <c r="J34" s="37">
        <v>0</v>
      </c>
      <c r="K34" s="37">
        <v>0</v>
      </c>
      <c r="L34" s="37">
        <v>0</v>
      </c>
      <c r="M34" s="37">
        <v>0</v>
      </c>
      <c r="N34" s="37">
        <v>0</v>
      </c>
      <c r="O34" s="37">
        <v>0</v>
      </c>
      <c r="P34" s="37">
        <v>0</v>
      </c>
      <c r="Q34" s="37">
        <v>0</v>
      </c>
      <c r="R34" s="37">
        <v>0</v>
      </c>
      <c r="S34" s="10">
        <f t="shared" ref="S34" si="2">AVERAGE(F34:R34)</f>
        <v>0</v>
      </c>
      <c r="T34" s="73" t="s">
        <v>357</v>
      </c>
      <c r="U34" s="74">
        <f>IFERROR(VLOOKUP(T34,'A22 (Allocation Factors)'!$D:$F,3,0),0)</f>
        <v>0</v>
      </c>
      <c r="V34" s="10">
        <f t="shared" si="0"/>
        <v>0</v>
      </c>
      <c r="W34" s="48" t="s">
        <v>357</v>
      </c>
    </row>
    <row r="35" spans="1:23" s="6" customFormat="1" x14ac:dyDescent="0.25">
      <c r="A35" s="88">
        <v>2</v>
      </c>
      <c r="B35" s="89" t="str">
        <f>"Total Unfunded Reserves (Sum Lns. ("&amp;A12&amp;" through "&amp;A34&amp;"))"</f>
        <v>Total Unfunded Reserves (Sum Lns. (1a through 1zz))</v>
      </c>
      <c r="C35" s="89"/>
      <c r="D35" s="89"/>
      <c r="E35" s="89"/>
      <c r="F35" s="90">
        <f t="shared" ref="F35:S35" si="3">SUM(F12:F34)</f>
        <v>0</v>
      </c>
      <c r="G35" s="90">
        <f t="shared" si="3"/>
        <v>0</v>
      </c>
      <c r="H35" s="90">
        <f t="shared" si="3"/>
        <v>0</v>
      </c>
      <c r="I35" s="90">
        <f t="shared" si="3"/>
        <v>0</v>
      </c>
      <c r="J35" s="90">
        <f t="shared" si="3"/>
        <v>0</v>
      </c>
      <c r="K35" s="90">
        <f t="shared" si="3"/>
        <v>0</v>
      </c>
      <c r="L35" s="90">
        <f t="shared" si="3"/>
        <v>0</v>
      </c>
      <c r="M35" s="90">
        <f t="shared" si="3"/>
        <v>0</v>
      </c>
      <c r="N35" s="90">
        <f t="shared" si="3"/>
        <v>0</v>
      </c>
      <c r="O35" s="90">
        <f t="shared" si="3"/>
        <v>0</v>
      </c>
      <c r="P35" s="90">
        <f t="shared" si="3"/>
        <v>0</v>
      </c>
      <c r="Q35" s="90">
        <f t="shared" si="3"/>
        <v>0</v>
      </c>
      <c r="R35" s="90">
        <f>SUM(R12:R34)</f>
        <v>0</v>
      </c>
      <c r="S35" s="90">
        <f t="shared" si="3"/>
        <v>0</v>
      </c>
      <c r="T35" s="89"/>
      <c r="U35" s="89"/>
      <c r="V35" s="90">
        <f t="shared" ref="V35" si="4">SUM(V12:V34)</f>
        <v>0</v>
      </c>
      <c r="W35" s="89"/>
    </row>
    <row r="36" spans="1:23" ht="5.25" customHeight="1" x14ac:dyDescent="0.25">
      <c r="A36" s="14"/>
      <c r="B36" s="5"/>
      <c r="C36" s="5"/>
      <c r="D36" s="5"/>
      <c r="E36" s="5"/>
      <c r="F36" s="5"/>
      <c r="G36" s="5"/>
      <c r="H36" s="5"/>
      <c r="I36" s="5"/>
      <c r="J36" s="5"/>
      <c r="K36" s="5"/>
      <c r="L36" s="5"/>
      <c r="M36" s="5"/>
      <c r="N36" s="5"/>
      <c r="O36" s="5"/>
      <c r="P36" s="5"/>
      <c r="Q36" s="5"/>
      <c r="R36" s="5"/>
      <c r="S36" s="5"/>
      <c r="T36" s="5"/>
      <c r="U36" s="5"/>
      <c r="V36" s="5"/>
      <c r="W36" s="5"/>
    </row>
    <row r="37" spans="1:23" ht="5.25" customHeight="1" x14ac:dyDescent="0.25"/>
    <row r="38" spans="1:23" x14ac:dyDescent="0.25">
      <c r="A38" s="22" t="str">
        <f>note</f>
        <v>Notes and Sources:</v>
      </c>
    </row>
    <row r="39" spans="1:23" ht="18.75" x14ac:dyDescent="0.25">
      <c r="A39" s="23">
        <v>1</v>
      </c>
      <c r="B39" s="274" t="str">
        <f>"Unless otherwise stated, source of shaded cells is company input/records. Lines "&amp;A12&amp;" through "&amp;A34&amp;" represent adjustable lines that may be expanded/compressed on an annual basis to provide for a sufficient breakout of unfunded reserves."</f>
        <v>Unless otherwise stated, source of shaded cells is company input/records. Lines 1a through 1zz represent adjustable lines that may be expanded/compressed on an annual basis to provide for a sufficient breakout of unfunded reserves.</v>
      </c>
      <c r="C39" s="274"/>
      <c r="D39" s="274"/>
      <c r="E39" s="274"/>
    </row>
    <row r="40" spans="1:23" ht="32.25" customHeight="1" x14ac:dyDescent="0.25">
      <c r="A40" s="23"/>
      <c r="B40" s="274"/>
      <c r="C40" s="274"/>
      <c r="D40" s="274"/>
      <c r="E40" s="274"/>
    </row>
    <row r="41" spans="1:23" ht="199.5" customHeight="1" x14ac:dyDescent="0.25">
      <c r="A41" s="85">
        <v>2</v>
      </c>
      <c r="B41" s="274" t="s">
        <v>1023</v>
      </c>
      <c r="C41" s="274"/>
      <c r="D41" s="274"/>
      <c r="E41" s="274"/>
    </row>
    <row r="42" spans="1:23" ht="48.75" customHeight="1" x14ac:dyDescent="0.25">
      <c r="A42" s="85">
        <v>3</v>
      </c>
      <c r="B42" s="274" t="str">
        <f>"Only network allocator codes listed on "&amp;'A22 (Allocation Factors)'!F1&amp;" may be inputed."</f>
        <v>Only network allocator codes listed on Worksheet A22 may be inputed.</v>
      </c>
      <c r="C42" s="274"/>
      <c r="D42" s="274"/>
      <c r="E42" s="274"/>
    </row>
    <row r="43" spans="1:23" ht="5.25" customHeight="1" thickBot="1" x14ac:dyDescent="0.3">
      <c r="A43" s="24"/>
      <c r="B43" s="4"/>
      <c r="C43" s="4"/>
      <c r="D43" s="4"/>
      <c r="E43" s="4"/>
      <c r="F43" s="4"/>
      <c r="G43" s="4"/>
      <c r="H43" s="4"/>
      <c r="I43" s="4"/>
      <c r="J43" s="4"/>
      <c r="K43" s="4"/>
      <c r="L43" s="4"/>
      <c r="M43" s="4"/>
      <c r="N43" s="4"/>
      <c r="O43" s="4"/>
      <c r="P43" s="4"/>
      <c r="Q43" s="4"/>
      <c r="R43" s="4"/>
      <c r="S43" s="4"/>
      <c r="T43" s="4"/>
      <c r="U43" s="4"/>
      <c r="V43" s="4"/>
      <c r="W43" s="4"/>
    </row>
    <row r="44" spans="1:23" ht="5.25" customHeight="1" thickTop="1" x14ac:dyDescent="0.25"/>
  </sheetData>
  <mergeCells count="14">
    <mergeCell ref="S7:S8"/>
    <mergeCell ref="T7:U7"/>
    <mergeCell ref="V7:V8"/>
    <mergeCell ref="W7:W8"/>
    <mergeCell ref="F7:N7"/>
    <mergeCell ref="O7:R7"/>
    <mergeCell ref="B41:E41"/>
    <mergeCell ref="B42:E42"/>
    <mergeCell ref="B39:E40"/>
    <mergeCell ref="A7:A9"/>
    <mergeCell ref="B7:B8"/>
    <mergeCell ref="C7:C8"/>
    <mergeCell ref="D7:D8"/>
    <mergeCell ref="E7:E8"/>
  </mergeCells>
  <pageMargins left="0.7" right="0.7" top="0.75" bottom="0.75" header="0.3" footer="0.3"/>
  <pageSetup scale="57" fitToWidth="3" orientation="landscape" horizontalDpi="1200" verticalDpi="1200" r:id="rId1"/>
  <headerFooter>
    <oddFooter>&amp;L&amp;6{W0327924.2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X33"/>
  <sheetViews>
    <sheetView workbookViewId="0"/>
  </sheetViews>
  <sheetFormatPr defaultRowHeight="15.75" x14ac:dyDescent="0.25"/>
  <cols>
    <col min="1" max="1" width="4.25" style="1" customWidth="1"/>
    <col min="2" max="2" width="50.75" customWidth="1"/>
    <col min="3" max="3" width="10.625" customWidth="1"/>
    <col min="4" max="4" width="13" customWidth="1"/>
    <col min="5" max="5" width="12.75" customWidth="1"/>
    <col min="6" max="6" width="6.25" customWidth="1"/>
    <col min="8" max="8" width="15.25" customWidth="1"/>
    <col min="9" max="21" width="10.625" customWidth="1"/>
    <col min="22" max="22" width="15.25" customWidth="1"/>
    <col min="23" max="23" width="15.75" customWidth="1"/>
    <col min="24" max="24" width="30.625" customWidth="1"/>
  </cols>
  <sheetData>
    <row r="1" spans="1:24" x14ac:dyDescent="0.25">
      <c r="A1" s="6" t="str">
        <f>epe</f>
        <v>El Paso Electric Company</v>
      </c>
      <c r="N1" s="8" t="str">
        <f>$X$1</f>
        <v>Worksheet A13</v>
      </c>
      <c r="W1" s="8" t="str">
        <f>$X$1</f>
        <v>Worksheet A13</v>
      </c>
      <c r="X1" s="8" t="s">
        <v>571</v>
      </c>
    </row>
    <row r="2" spans="1:24" x14ac:dyDescent="0.25">
      <c r="A2" t="str">
        <f>frta</f>
        <v>Formula Rate Template (Actuals)</v>
      </c>
      <c r="H2" s="8"/>
      <c r="X2" s="8"/>
    </row>
    <row r="3" spans="1:24" x14ac:dyDescent="0.25">
      <c r="A3" t="s">
        <v>618</v>
      </c>
    </row>
    <row r="4" spans="1:24" x14ac:dyDescent="0.25">
      <c r="A4" t="str">
        <f>"12 Months Ended December 31, "&amp;YEAR('A1 (FF1 Inputs)'!$E$12)</f>
        <v>12 Months Ended December 31, 2020</v>
      </c>
    </row>
    <row r="5" spans="1:24" ht="5.25" customHeight="1" thickBot="1" x14ac:dyDescent="0.3">
      <c r="A5" s="4"/>
      <c r="B5" s="4"/>
      <c r="C5" s="4"/>
      <c r="D5" s="4"/>
      <c r="E5" s="4"/>
      <c r="F5" s="4"/>
      <c r="G5" s="4"/>
      <c r="H5" s="4"/>
      <c r="I5" s="4"/>
      <c r="J5" s="4"/>
      <c r="K5" s="4"/>
      <c r="L5" s="4"/>
      <c r="M5" s="4"/>
      <c r="N5" s="4"/>
      <c r="O5" s="4"/>
      <c r="P5" s="4"/>
      <c r="Q5" s="4"/>
      <c r="R5" s="4"/>
      <c r="S5" s="4"/>
      <c r="T5" s="4"/>
      <c r="U5" s="4"/>
      <c r="V5" s="4"/>
      <c r="W5" s="4"/>
      <c r="X5" s="4"/>
    </row>
    <row r="6" spans="1:24" ht="5.25" customHeight="1" thickTop="1" x14ac:dyDescent="0.25">
      <c r="A6"/>
    </row>
    <row r="7" spans="1:24" s="3" customFormat="1" ht="15.75" customHeight="1" x14ac:dyDescent="0.25">
      <c r="A7" s="266" t="str">
        <f>ln</f>
        <v>Line No.</v>
      </c>
      <c r="B7" s="266" t="s">
        <v>2</v>
      </c>
      <c r="C7" s="275" t="s">
        <v>384</v>
      </c>
      <c r="D7" s="282" t="s">
        <v>619</v>
      </c>
      <c r="E7" s="266" t="s">
        <v>621</v>
      </c>
      <c r="F7" s="268" t="s">
        <v>393</v>
      </c>
      <c r="G7" s="268"/>
      <c r="H7" s="282" t="s">
        <v>620</v>
      </c>
      <c r="I7" s="270" t="s">
        <v>625</v>
      </c>
      <c r="J7" s="270"/>
      <c r="K7" s="270"/>
      <c r="L7" s="270"/>
      <c r="M7" s="270"/>
      <c r="N7" s="270"/>
      <c r="O7" s="270" t="s">
        <v>625</v>
      </c>
      <c r="P7" s="270"/>
      <c r="Q7" s="270"/>
      <c r="R7" s="270"/>
      <c r="S7" s="270"/>
      <c r="T7" s="270"/>
      <c r="U7" s="270"/>
      <c r="V7" s="275" t="s">
        <v>624</v>
      </c>
      <c r="W7" s="275" t="s">
        <v>430</v>
      </c>
      <c r="X7" s="266" t="s">
        <v>432</v>
      </c>
    </row>
    <row r="8" spans="1:24" s="3" customFormat="1" x14ac:dyDescent="0.25">
      <c r="A8" s="266"/>
      <c r="B8" s="266"/>
      <c r="C8" s="275"/>
      <c r="D8" s="282"/>
      <c r="E8" s="266"/>
      <c r="F8" s="3" t="s">
        <v>5</v>
      </c>
      <c r="G8" s="3" t="s">
        <v>6</v>
      </c>
      <c r="H8" s="282"/>
      <c r="I8" s="3" t="str">
        <f>"Dec-"&amp;YEAR('A1 (FF1 Inputs)'!$E$12)-1</f>
        <v>Dec-2019</v>
      </c>
      <c r="J8" s="3" t="str">
        <f>"Jan-"&amp;YEAR('A1 (FF1 Inputs)'!$E$12)</f>
        <v>Jan-2020</v>
      </c>
      <c r="K8" s="3" t="str">
        <f>"Feb-"&amp;YEAR('A1 (FF1 Inputs)'!$E$12)</f>
        <v>Feb-2020</v>
      </c>
      <c r="L8" s="3" t="str">
        <f>"Mar-"&amp;YEAR('A1 (FF1 Inputs)'!$E$12)</f>
        <v>Mar-2020</v>
      </c>
      <c r="M8" s="3" t="str">
        <f>"Apr-"&amp;YEAR('A1 (FF1 Inputs)'!$E$12)</f>
        <v>Apr-2020</v>
      </c>
      <c r="N8" s="3" t="str">
        <f>"May-"&amp;YEAR('A1 (FF1 Inputs)'!$E$12)</f>
        <v>May-2020</v>
      </c>
      <c r="O8" s="3" t="str">
        <f>"Jun-"&amp;YEAR('A1 (FF1 Inputs)'!$E$12)</f>
        <v>Jun-2020</v>
      </c>
      <c r="P8" s="3" t="str">
        <f>"Jul-"&amp;YEAR('A1 (FF1 Inputs)'!$E$12)</f>
        <v>Jul-2020</v>
      </c>
      <c r="Q8" s="3" t="str">
        <f>"Aug-"&amp;YEAR('A1 (FF1 Inputs)'!$E$12)</f>
        <v>Aug-2020</v>
      </c>
      <c r="R8" s="3" t="str">
        <f>"Sep-"&amp;YEAR('A1 (FF1 Inputs)'!$E$12)</f>
        <v>Sep-2020</v>
      </c>
      <c r="S8" s="3" t="str">
        <f>"Oct-"&amp;YEAR('A1 (FF1 Inputs)'!$E$12)</f>
        <v>Oct-2020</v>
      </c>
      <c r="T8" s="3" t="str">
        <f>"Nov-"&amp;YEAR('A1 (FF1 Inputs)'!$E$12)</f>
        <v>Nov-2020</v>
      </c>
      <c r="U8" s="3" t="str">
        <f>"Dec-"&amp;YEAR('A1 (FF1 Inputs)'!$E$12)</f>
        <v>Dec-2020</v>
      </c>
      <c r="V8" s="275"/>
      <c r="W8" s="275"/>
      <c r="X8" s="266"/>
    </row>
    <row r="9" spans="1:24" s="1" customFormat="1" ht="31.5" x14ac:dyDescent="0.25">
      <c r="A9" s="266"/>
      <c r="B9" s="2" t="s">
        <v>7</v>
      </c>
      <c r="C9" s="2" t="s">
        <v>8</v>
      </c>
      <c r="D9" s="2" t="s">
        <v>9</v>
      </c>
      <c r="E9" s="2" t="s">
        <v>10</v>
      </c>
      <c r="F9" s="2" t="s">
        <v>11</v>
      </c>
      <c r="G9" s="2" t="s">
        <v>12</v>
      </c>
      <c r="H9" s="2" t="s">
        <v>622</v>
      </c>
      <c r="I9" s="2" t="s">
        <v>92</v>
      </c>
      <c r="J9" s="2" t="s">
        <v>93</v>
      </c>
      <c r="K9" s="2" t="s">
        <v>94</v>
      </c>
      <c r="L9" s="2" t="s">
        <v>95</v>
      </c>
      <c r="M9" s="2" t="s">
        <v>307</v>
      </c>
      <c r="N9" s="2" t="s">
        <v>392</v>
      </c>
      <c r="O9" s="2" t="s">
        <v>395</v>
      </c>
      <c r="P9" s="2" t="s">
        <v>396</v>
      </c>
      <c r="Q9" s="2" t="s">
        <v>397</v>
      </c>
      <c r="R9" s="2" t="s">
        <v>398</v>
      </c>
      <c r="S9" s="2" t="s">
        <v>399</v>
      </c>
      <c r="T9" s="2" t="s">
        <v>400</v>
      </c>
      <c r="U9" s="2" t="s">
        <v>401</v>
      </c>
      <c r="V9" s="3" t="s">
        <v>623</v>
      </c>
      <c r="W9" s="2" t="s">
        <v>626</v>
      </c>
      <c r="X9" s="2" t="s">
        <v>404</v>
      </c>
    </row>
    <row r="10" spans="1:24" ht="5.25" customHeight="1" x14ac:dyDescent="0.25">
      <c r="A10" s="5"/>
      <c r="B10" s="5"/>
      <c r="C10" s="5"/>
      <c r="D10" s="5"/>
      <c r="E10" s="5"/>
      <c r="F10" s="5"/>
      <c r="G10" s="5"/>
      <c r="H10" s="5"/>
      <c r="I10" s="5"/>
      <c r="J10" s="5"/>
      <c r="K10" s="5"/>
      <c r="L10" s="5"/>
      <c r="M10" s="5"/>
      <c r="N10" s="5"/>
      <c r="O10" s="5"/>
      <c r="P10" s="5"/>
      <c r="Q10" s="5"/>
      <c r="R10" s="5"/>
      <c r="S10" s="5"/>
      <c r="T10" s="5"/>
      <c r="U10" s="5"/>
      <c r="V10" s="5"/>
      <c r="W10" s="5"/>
      <c r="X10" s="5"/>
    </row>
    <row r="11" spans="1:24" ht="5.25" customHeight="1" x14ac:dyDescent="0.25">
      <c r="A11"/>
    </row>
    <row r="12" spans="1:24" x14ac:dyDescent="0.25">
      <c r="A12" s="31" t="s">
        <v>411</v>
      </c>
      <c r="B12" s="32" t="s">
        <v>357</v>
      </c>
      <c r="C12" s="31" t="s">
        <v>357</v>
      </c>
      <c r="D12" s="31" t="s">
        <v>357</v>
      </c>
      <c r="E12" s="37">
        <v>0</v>
      </c>
      <c r="F12" s="31" t="s">
        <v>357</v>
      </c>
      <c r="G12" s="45">
        <f>IFERROR(VLOOKUP(F12,'A22 (Allocation Factors)'!$D:$F,3,0),0)</f>
        <v>0</v>
      </c>
      <c r="H12" s="41">
        <f>E12*G12</f>
        <v>0</v>
      </c>
      <c r="I12" s="37">
        <v>0</v>
      </c>
      <c r="J12" s="37">
        <v>0</v>
      </c>
      <c r="K12" s="37">
        <v>0</v>
      </c>
      <c r="L12" s="37">
        <v>0</v>
      </c>
      <c r="M12" s="37">
        <v>0</v>
      </c>
      <c r="N12" s="37">
        <v>0</v>
      </c>
      <c r="O12" s="37">
        <v>0</v>
      </c>
      <c r="P12" s="37">
        <v>0</v>
      </c>
      <c r="Q12" s="37">
        <v>0</v>
      </c>
      <c r="R12" s="37">
        <v>0</v>
      </c>
      <c r="S12" s="37">
        <v>0</v>
      </c>
      <c r="T12" s="37">
        <v>0</v>
      </c>
      <c r="U12" s="37">
        <v>0</v>
      </c>
      <c r="V12" s="41">
        <f>AVERAGE(I12:U12)</f>
        <v>0</v>
      </c>
      <c r="W12" s="41">
        <f>G12*V12</f>
        <v>0</v>
      </c>
      <c r="X12" s="46" t="s">
        <v>357</v>
      </c>
    </row>
    <row r="13" spans="1:24" x14ac:dyDescent="0.25">
      <c r="A13" s="31" t="s">
        <v>412</v>
      </c>
      <c r="B13" s="32" t="s">
        <v>357</v>
      </c>
      <c r="C13" s="31" t="s">
        <v>357</v>
      </c>
      <c r="D13" s="31" t="s">
        <v>357</v>
      </c>
      <c r="E13" s="37">
        <v>0</v>
      </c>
      <c r="F13" s="31" t="s">
        <v>357</v>
      </c>
      <c r="G13" s="45">
        <f>IFERROR(VLOOKUP(F13,'A22 (Allocation Factors)'!$D:$F,3,0),0)</f>
        <v>0</v>
      </c>
      <c r="H13" s="41">
        <f t="shared" ref="H13:H18" si="0">E13*G13</f>
        <v>0</v>
      </c>
      <c r="I13" s="37">
        <v>0</v>
      </c>
      <c r="J13" s="37">
        <v>0</v>
      </c>
      <c r="K13" s="37">
        <v>0</v>
      </c>
      <c r="L13" s="37">
        <v>0</v>
      </c>
      <c r="M13" s="37">
        <v>0</v>
      </c>
      <c r="N13" s="37">
        <v>0</v>
      </c>
      <c r="O13" s="37">
        <v>0</v>
      </c>
      <c r="P13" s="37">
        <v>0</v>
      </c>
      <c r="Q13" s="37">
        <v>0</v>
      </c>
      <c r="R13" s="37">
        <v>0</v>
      </c>
      <c r="S13" s="37">
        <v>0</v>
      </c>
      <c r="T13" s="37">
        <v>0</v>
      </c>
      <c r="U13" s="37">
        <v>0</v>
      </c>
      <c r="V13" s="41">
        <f t="shared" ref="V13:V18" si="1">AVERAGE(I13:U13)</f>
        <v>0</v>
      </c>
      <c r="W13" s="41">
        <f t="shared" ref="W13:W18" si="2">G13*V13</f>
        <v>0</v>
      </c>
      <c r="X13" s="46" t="s">
        <v>357</v>
      </c>
    </row>
    <row r="14" spans="1:24" x14ac:dyDescent="0.25">
      <c r="A14" s="31" t="s">
        <v>413</v>
      </c>
      <c r="B14" s="32" t="s">
        <v>357</v>
      </c>
      <c r="C14" s="31" t="s">
        <v>357</v>
      </c>
      <c r="D14" s="31" t="s">
        <v>357</v>
      </c>
      <c r="E14" s="37">
        <v>0</v>
      </c>
      <c r="F14" s="31" t="s">
        <v>357</v>
      </c>
      <c r="G14" s="45">
        <f>IFERROR(VLOOKUP(F14,'A22 (Allocation Factors)'!$D:$F,3,0),0)</f>
        <v>0</v>
      </c>
      <c r="H14" s="41">
        <f t="shared" si="0"/>
        <v>0</v>
      </c>
      <c r="I14" s="37">
        <v>0</v>
      </c>
      <c r="J14" s="37">
        <v>0</v>
      </c>
      <c r="K14" s="37">
        <v>0</v>
      </c>
      <c r="L14" s="37">
        <v>0</v>
      </c>
      <c r="M14" s="37">
        <v>0</v>
      </c>
      <c r="N14" s="37">
        <v>0</v>
      </c>
      <c r="O14" s="37">
        <v>0</v>
      </c>
      <c r="P14" s="37">
        <v>0</v>
      </c>
      <c r="Q14" s="37">
        <v>0</v>
      </c>
      <c r="R14" s="37">
        <v>0</v>
      </c>
      <c r="S14" s="37">
        <v>0</v>
      </c>
      <c r="T14" s="37">
        <v>0</v>
      </c>
      <c r="U14" s="37">
        <v>0</v>
      </c>
      <c r="V14" s="41">
        <f t="shared" si="1"/>
        <v>0</v>
      </c>
      <c r="W14" s="41">
        <f t="shared" si="2"/>
        <v>0</v>
      </c>
      <c r="X14" s="46" t="s">
        <v>357</v>
      </c>
    </row>
    <row r="15" spans="1:24" x14ac:dyDescent="0.25">
      <c r="A15" s="31" t="s">
        <v>357</v>
      </c>
      <c r="B15" s="32" t="s">
        <v>357</v>
      </c>
      <c r="C15" s="31" t="s">
        <v>357</v>
      </c>
      <c r="D15" s="31" t="s">
        <v>357</v>
      </c>
      <c r="E15" s="37">
        <v>0</v>
      </c>
      <c r="F15" s="31" t="s">
        <v>357</v>
      </c>
      <c r="G15" s="45">
        <f>IFERROR(VLOOKUP(F15,'A22 (Allocation Factors)'!$D:$F,3,0),0)</f>
        <v>0</v>
      </c>
      <c r="H15" s="41">
        <f t="shared" si="0"/>
        <v>0</v>
      </c>
      <c r="I15" s="37">
        <v>0</v>
      </c>
      <c r="J15" s="37">
        <v>0</v>
      </c>
      <c r="K15" s="37">
        <v>0</v>
      </c>
      <c r="L15" s="37">
        <v>0</v>
      </c>
      <c r="M15" s="37">
        <v>0</v>
      </c>
      <c r="N15" s="37">
        <v>0</v>
      </c>
      <c r="O15" s="37">
        <v>0</v>
      </c>
      <c r="P15" s="37">
        <v>0</v>
      </c>
      <c r="Q15" s="37">
        <v>0</v>
      </c>
      <c r="R15" s="37">
        <v>0</v>
      </c>
      <c r="S15" s="37">
        <v>0</v>
      </c>
      <c r="T15" s="37">
        <v>0</v>
      </c>
      <c r="U15" s="37">
        <v>0</v>
      </c>
      <c r="V15" s="41">
        <f t="shared" si="1"/>
        <v>0</v>
      </c>
      <c r="W15" s="41">
        <f t="shared" si="2"/>
        <v>0</v>
      </c>
      <c r="X15" s="46" t="s">
        <v>357</v>
      </c>
    </row>
    <row r="16" spans="1:24" x14ac:dyDescent="0.25">
      <c r="A16" s="31" t="s">
        <v>357</v>
      </c>
      <c r="B16" s="32" t="s">
        <v>357</v>
      </c>
      <c r="C16" s="31" t="s">
        <v>357</v>
      </c>
      <c r="D16" s="31" t="s">
        <v>357</v>
      </c>
      <c r="E16" s="37">
        <v>0</v>
      </c>
      <c r="F16" s="31" t="s">
        <v>357</v>
      </c>
      <c r="G16" s="45">
        <f>IFERROR(VLOOKUP(F16,'A22 (Allocation Factors)'!$D:$F,3,0),0)</f>
        <v>0</v>
      </c>
      <c r="H16" s="41">
        <f t="shared" si="0"/>
        <v>0</v>
      </c>
      <c r="I16" s="37">
        <v>0</v>
      </c>
      <c r="J16" s="37">
        <v>0</v>
      </c>
      <c r="K16" s="37">
        <v>0</v>
      </c>
      <c r="L16" s="37">
        <v>0</v>
      </c>
      <c r="M16" s="37">
        <v>0</v>
      </c>
      <c r="N16" s="37">
        <v>0</v>
      </c>
      <c r="O16" s="37">
        <v>0</v>
      </c>
      <c r="P16" s="37">
        <v>0</v>
      </c>
      <c r="Q16" s="37">
        <v>0</v>
      </c>
      <c r="R16" s="37">
        <v>0</v>
      </c>
      <c r="S16" s="37">
        <v>0</v>
      </c>
      <c r="T16" s="37">
        <v>0</v>
      </c>
      <c r="U16" s="37">
        <v>0</v>
      </c>
      <c r="V16" s="41">
        <f t="shared" si="1"/>
        <v>0</v>
      </c>
      <c r="W16" s="41">
        <f t="shared" si="2"/>
        <v>0</v>
      </c>
      <c r="X16" s="46" t="s">
        <v>357</v>
      </c>
    </row>
    <row r="17" spans="1:24" x14ac:dyDescent="0.25">
      <c r="A17" s="31" t="s">
        <v>357</v>
      </c>
      <c r="B17" s="32" t="s">
        <v>357</v>
      </c>
      <c r="C17" s="31" t="s">
        <v>357</v>
      </c>
      <c r="D17" s="31" t="s">
        <v>357</v>
      </c>
      <c r="E17" s="37">
        <v>0</v>
      </c>
      <c r="F17" s="31" t="s">
        <v>357</v>
      </c>
      <c r="G17" s="45">
        <f>IFERROR(VLOOKUP(F17,'A22 (Allocation Factors)'!$D:$F,3,0),0)</f>
        <v>0</v>
      </c>
      <c r="H17" s="41">
        <f t="shared" si="0"/>
        <v>0</v>
      </c>
      <c r="I17" s="37">
        <v>0</v>
      </c>
      <c r="J17" s="37">
        <v>0</v>
      </c>
      <c r="K17" s="37">
        <v>0</v>
      </c>
      <c r="L17" s="37">
        <v>0</v>
      </c>
      <c r="M17" s="37">
        <v>0</v>
      </c>
      <c r="N17" s="37">
        <v>0</v>
      </c>
      <c r="O17" s="37">
        <v>0</v>
      </c>
      <c r="P17" s="37">
        <v>0</v>
      </c>
      <c r="Q17" s="37">
        <v>0</v>
      </c>
      <c r="R17" s="37">
        <v>0</v>
      </c>
      <c r="S17" s="37">
        <v>0</v>
      </c>
      <c r="T17" s="37">
        <v>0</v>
      </c>
      <c r="U17" s="37">
        <v>0</v>
      </c>
      <c r="V17" s="41">
        <f t="shared" si="1"/>
        <v>0</v>
      </c>
      <c r="W17" s="41">
        <f t="shared" si="2"/>
        <v>0</v>
      </c>
      <c r="X17" s="46" t="s">
        <v>357</v>
      </c>
    </row>
    <row r="18" spans="1:24" x14ac:dyDescent="0.25">
      <c r="A18" s="1" t="s">
        <v>478</v>
      </c>
      <c r="B18" s="104" t="s">
        <v>357</v>
      </c>
      <c r="C18" s="73" t="s">
        <v>357</v>
      </c>
      <c r="D18" s="73" t="s">
        <v>357</v>
      </c>
      <c r="E18" s="20">
        <v>0</v>
      </c>
      <c r="F18" s="73" t="s">
        <v>357</v>
      </c>
      <c r="G18" s="74">
        <f>IFERROR(VLOOKUP(F18,'A22 (Allocation Factors)'!$D:$F,3,0),0)</f>
        <v>0</v>
      </c>
      <c r="H18" s="10">
        <f t="shared" si="0"/>
        <v>0</v>
      </c>
      <c r="I18" s="20">
        <v>0</v>
      </c>
      <c r="J18" s="20">
        <v>0</v>
      </c>
      <c r="K18" s="20">
        <v>0</v>
      </c>
      <c r="L18" s="20">
        <v>0</v>
      </c>
      <c r="M18" s="20">
        <v>0</v>
      </c>
      <c r="N18" s="20">
        <v>0</v>
      </c>
      <c r="O18" s="20">
        <v>0</v>
      </c>
      <c r="P18" s="20">
        <v>0</v>
      </c>
      <c r="Q18" s="20">
        <v>0</v>
      </c>
      <c r="R18" s="20">
        <v>0</v>
      </c>
      <c r="S18" s="20">
        <v>0</v>
      </c>
      <c r="T18" s="20">
        <v>0</v>
      </c>
      <c r="U18" s="20">
        <v>0</v>
      </c>
      <c r="V18" s="10">
        <f t="shared" si="1"/>
        <v>0</v>
      </c>
      <c r="W18" s="10">
        <f t="shared" si="2"/>
        <v>0</v>
      </c>
      <c r="X18" s="48" t="s">
        <v>357</v>
      </c>
    </row>
    <row r="19" spans="1:24" s="6" customFormat="1" x14ac:dyDescent="0.25">
      <c r="A19" s="88">
        <v>2</v>
      </c>
      <c r="B19" s="89" t="str">
        <f>"Total Hold Harmless Adjustments (Sum Lns. "&amp;A12&amp;" through "&amp;A18&amp;")"</f>
        <v>Total Hold Harmless Adjustments (Sum Lns. 1a through 1zz)</v>
      </c>
      <c r="C19" s="89"/>
      <c r="D19" s="89"/>
      <c r="E19" s="90">
        <f>SUM(E12:E18)</f>
        <v>0</v>
      </c>
      <c r="F19" s="89"/>
      <c r="G19" s="89"/>
      <c r="H19" s="90">
        <f>SUM(H12:H18)</f>
        <v>0</v>
      </c>
      <c r="I19" s="90">
        <f t="shared" ref="I19:W19" si="3">SUM(I12:I18)</f>
        <v>0</v>
      </c>
      <c r="J19" s="90">
        <f t="shared" si="3"/>
        <v>0</v>
      </c>
      <c r="K19" s="90">
        <f t="shared" si="3"/>
        <v>0</v>
      </c>
      <c r="L19" s="90">
        <f t="shared" si="3"/>
        <v>0</v>
      </c>
      <c r="M19" s="90">
        <f t="shared" si="3"/>
        <v>0</v>
      </c>
      <c r="N19" s="90">
        <f t="shared" si="3"/>
        <v>0</v>
      </c>
      <c r="O19" s="90">
        <f t="shared" si="3"/>
        <v>0</v>
      </c>
      <c r="P19" s="90">
        <f t="shared" si="3"/>
        <v>0</v>
      </c>
      <c r="Q19" s="90">
        <f t="shared" si="3"/>
        <v>0</v>
      </c>
      <c r="R19" s="90">
        <f t="shared" si="3"/>
        <v>0</v>
      </c>
      <c r="S19" s="90">
        <f t="shared" si="3"/>
        <v>0</v>
      </c>
      <c r="T19" s="90">
        <f t="shared" si="3"/>
        <v>0</v>
      </c>
      <c r="U19" s="90">
        <f t="shared" si="3"/>
        <v>0</v>
      </c>
      <c r="V19" s="90">
        <f t="shared" si="3"/>
        <v>0</v>
      </c>
      <c r="W19" s="90">
        <f t="shared" si="3"/>
        <v>0</v>
      </c>
      <c r="X19" s="89"/>
    </row>
    <row r="20" spans="1:24"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row>
    <row r="21" spans="1:24" ht="5.25" customHeight="1" x14ac:dyDescent="0.25"/>
    <row r="22" spans="1:24" x14ac:dyDescent="0.25">
      <c r="A22" s="22" t="str">
        <f>note</f>
        <v>Notes and Sources:</v>
      </c>
    </row>
    <row r="23" spans="1:24" ht="18.75" customHeight="1" x14ac:dyDescent="0.25">
      <c r="A23" s="23">
        <v>1</v>
      </c>
      <c r="B23" s="274" t="str">
        <f>"Unless otherwise stated, source of shaded cells is company input/records. Lines "&amp;A12&amp;" through "&amp;A18&amp;" represent adjustable lines that may be expanded/compressed on an annual basis to provide for a sufficient breakout of hold harmless adjustments."</f>
        <v>Unless otherwise stated, source of shaded cells is company input/records. Lines 1a through 1zz represent adjustable lines that may be expanded/compressed on an annual basis to provide for a sufficient breakout of hold harmless adjustments.</v>
      </c>
      <c r="C23" s="274"/>
      <c r="D23" s="274"/>
      <c r="E23" s="87"/>
      <c r="F23" s="87"/>
      <c r="G23" s="87"/>
      <c r="H23" s="87"/>
    </row>
    <row r="24" spans="1:24" ht="15.75" customHeight="1" x14ac:dyDescent="0.25">
      <c r="A24" s="23"/>
      <c r="B24" s="274"/>
      <c r="C24" s="274"/>
      <c r="D24" s="274"/>
      <c r="E24" s="87"/>
      <c r="F24" s="87"/>
      <c r="G24" s="87"/>
      <c r="H24" s="87"/>
    </row>
    <row r="25" spans="1:24" ht="15.75" customHeight="1" x14ac:dyDescent="0.25">
      <c r="B25" s="274"/>
      <c r="C25" s="274"/>
      <c r="D25" s="274"/>
      <c r="E25" s="87"/>
      <c r="F25" s="87"/>
      <c r="G25" s="87"/>
      <c r="H25" s="87"/>
    </row>
    <row r="26" spans="1:24" ht="18.75" customHeight="1" x14ac:dyDescent="0.25">
      <c r="A26" s="23">
        <v>2</v>
      </c>
      <c r="B26" s="274" t="s">
        <v>732</v>
      </c>
      <c r="C26" s="274"/>
      <c r="D26" s="274"/>
      <c r="E26" s="86"/>
      <c r="F26" s="86"/>
      <c r="G26" s="86"/>
      <c r="H26" s="86"/>
    </row>
    <row r="27" spans="1:24" ht="15.75" customHeight="1" x14ac:dyDescent="0.25">
      <c r="A27" s="23"/>
      <c r="B27" s="274"/>
      <c r="C27" s="274"/>
      <c r="D27" s="274"/>
      <c r="E27" s="86"/>
      <c r="F27" s="86"/>
      <c r="G27" s="86"/>
      <c r="H27" s="86"/>
    </row>
    <row r="28" spans="1:24" ht="15.75" customHeight="1" x14ac:dyDescent="0.25">
      <c r="A28" s="23"/>
      <c r="B28" s="274"/>
      <c r="C28" s="274"/>
      <c r="D28" s="274"/>
      <c r="E28" s="86"/>
      <c r="F28" s="86"/>
      <c r="G28" s="86"/>
      <c r="H28" s="86"/>
    </row>
    <row r="29" spans="1:24" ht="15.75" customHeight="1" x14ac:dyDescent="0.25">
      <c r="A29" s="23"/>
      <c r="B29" s="274"/>
      <c r="C29" s="274"/>
      <c r="D29" s="274"/>
      <c r="E29" s="86"/>
      <c r="F29" s="86"/>
      <c r="G29" s="86"/>
      <c r="H29" s="86"/>
    </row>
    <row r="30" spans="1:24" ht="15.75" customHeight="1" x14ac:dyDescent="0.25">
      <c r="A30" s="85">
        <v>3</v>
      </c>
      <c r="B30" s="274" t="str">
        <f>"Only network allocator codes listed on "&amp;'A22 (Allocation Factors)'!F1&amp;" may be inputed."</f>
        <v>Only network allocator codes listed on Worksheet A22 may be inputed.</v>
      </c>
      <c r="C30" s="274"/>
      <c r="D30" s="274"/>
      <c r="E30" s="86"/>
      <c r="F30" s="86"/>
      <c r="G30" s="86"/>
      <c r="H30" s="86"/>
    </row>
    <row r="31" spans="1:24" ht="30.75" customHeight="1" x14ac:dyDescent="0.25">
      <c r="A31" s="23"/>
      <c r="B31" s="274"/>
      <c r="C31" s="274"/>
      <c r="D31" s="274"/>
      <c r="E31" s="86"/>
      <c r="F31" s="86"/>
      <c r="G31" s="86"/>
      <c r="H31" s="86"/>
    </row>
    <row r="32" spans="1:24" ht="5.25" customHeight="1" thickBot="1" x14ac:dyDescent="0.3">
      <c r="A32" s="24"/>
      <c r="B32" s="4"/>
      <c r="C32" s="4"/>
      <c r="D32" s="4"/>
      <c r="E32" s="4"/>
      <c r="F32" s="4"/>
      <c r="G32" s="4"/>
      <c r="H32" s="4"/>
      <c r="I32" s="4"/>
      <c r="J32" s="4"/>
      <c r="K32" s="4"/>
      <c r="L32" s="4"/>
      <c r="M32" s="4"/>
      <c r="N32" s="4"/>
      <c r="O32" s="4"/>
      <c r="P32" s="4"/>
      <c r="Q32" s="4"/>
      <c r="R32" s="4"/>
      <c r="S32" s="4"/>
      <c r="T32" s="4"/>
      <c r="U32" s="4"/>
      <c r="V32" s="4"/>
      <c r="W32" s="4"/>
      <c r="X32" s="4"/>
    </row>
    <row r="33" ht="5.25" customHeight="1" thickTop="1" x14ac:dyDescent="0.25"/>
  </sheetData>
  <mergeCells count="15">
    <mergeCell ref="W7:W8"/>
    <mergeCell ref="X7:X8"/>
    <mergeCell ref="F7:G7"/>
    <mergeCell ref="H7:H8"/>
    <mergeCell ref="A7:A9"/>
    <mergeCell ref="B7:B8"/>
    <mergeCell ref="C7:C8"/>
    <mergeCell ref="D7:D8"/>
    <mergeCell ref="E7:E8"/>
    <mergeCell ref="B30:D31"/>
    <mergeCell ref="B23:D25"/>
    <mergeCell ref="B26:D29"/>
    <mergeCell ref="V7:V8"/>
    <mergeCell ref="I7:N7"/>
    <mergeCell ref="O7:U7"/>
  </mergeCells>
  <pageMargins left="0.7" right="0.7" top="0.75" bottom="0.75" header="0.3" footer="0.3"/>
  <pageSetup scale="61" fitToWidth="3" orientation="landscape" horizontalDpi="1200" verticalDpi="1200" r:id="rId1"/>
  <headerFooter>
    <oddFooter>&amp;L&amp;6{W0327924.2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V31"/>
  <sheetViews>
    <sheetView workbookViewId="0"/>
  </sheetViews>
  <sheetFormatPr defaultRowHeight="15.75" x14ac:dyDescent="0.25"/>
  <cols>
    <col min="1" max="1" width="4.25" style="1" customWidth="1"/>
    <col min="2" max="2" width="23" customWidth="1"/>
    <col min="3" max="3" width="46.125" customWidth="1"/>
    <col min="4" max="4" width="11.5" customWidth="1"/>
    <col min="5" max="17" width="10.625" customWidth="1"/>
    <col min="18" max="18" width="15.25" customWidth="1"/>
    <col min="21" max="21" width="15.625" customWidth="1"/>
    <col min="22" max="22" width="47.25" customWidth="1"/>
  </cols>
  <sheetData>
    <row r="1" spans="1:22" x14ac:dyDescent="0.25">
      <c r="A1" s="6" t="str">
        <f>epe</f>
        <v>El Paso Electric Company</v>
      </c>
      <c r="K1" s="8" t="str">
        <f>$V$1</f>
        <v>Worksheet A14</v>
      </c>
      <c r="Q1" s="8"/>
      <c r="R1" s="8" t="str">
        <f>$V$1</f>
        <v>Worksheet A14</v>
      </c>
      <c r="V1" s="8" t="s">
        <v>584</v>
      </c>
    </row>
    <row r="2" spans="1:22" x14ac:dyDescent="0.25">
      <c r="A2" t="str">
        <f>frta</f>
        <v>Formula Rate Template (Actuals)</v>
      </c>
      <c r="K2" s="8"/>
      <c r="Q2" s="8"/>
      <c r="R2" s="8"/>
      <c r="V2" s="8"/>
    </row>
    <row r="3" spans="1:22" x14ac:dyDescent="0.25">
      <c r="A3" t="s">
        <v>426</v>
      </c>
    </row>
    <row r="4" spans="1:22" x14ac:dyDescent="0.25">
      <c r="A4" t="str">
        <f>"12 Months Ended December 31, "&amp;YEAR('A1 (FF1 Inputs)'!$E$12)</f>
        <v>12 Months Ended December 31, 2020</v>
      </c>
    </row>
    <row r="5" spans="1:22" ht="5.25" customHeight="1" thickBot="1" x14ac:dyDescent="0.3">
      <c r="A5" s="4"/>
      <c r="B5" s="4"/>
      <c r="C5" s="4"/>
      <c r="D5" s="4"/>
      <c r="E5" s="4"/>
      <c r="F5" s="4"/>
      <c r="G5" s="4"/>
      <c r="H5" s="4"/>
      <c r="I5" s="4"/>
      <c r="J5" s="4"/>
      <c r="K5" s="4"/>
      <c r="L5" s="4"/>
      <c r="M5" s="4"/>
      <c r="N5" s="4"/>
      <c r="O5" s="4"/>
      <c r="P5" s="4"/>
      <c r="Q5" s="4"/>
      <c r="R5" s="4"/>
      <c r="S5" s="4"/>
      <c r="T5" s="4"/>
      <c r="U5" s="4"/>
      <c r="V5" s="4"/>
    </row>
    <row r="6" spans="1:22" ht="5.25" customHeight="1" thickTop="1" x14ac:dyDescent="0.25">
      <c r="A6"/>
    </row>
    <row r="7" spans="1:22" s="3" customFormat="1" ht="15.75" customHeight="1" x14ac:dyDescent="0.25">
      <c r="A7" s="266" t="str">
        <f>ln</f>
        <v>Line No.</v>
      </c>
      <c r="B7" s="266" t="s">
        <v>678</v>
      </c>
      <c r="C7" s="266" t="s">
        <v>679</v>
      </c>
      <c r="D7" s="285" t="s">
        <v>684</v>
      </c>
      <c r="E7" s="270" t="s">
        <v>427</v>
      </c>
      <c r="F7" s="270"/>
      <c r="G7" s="270"/>
      <c r="H7" s="270"/>
      <c r="I7" s="270"/>
      <c r="J7" s="270"/>
      <c r="K7" s="270"/>
      <c r="L7" s="270" t="str">
        <f>E7</f>
        <v>BALANCES</v>
      </c>
      <c r="M7" s="270"/>
      <c r="N7" s="270"/>
      <c r="O7" s="270"/>
      <c r="P7" s="270"/>
      <c r="Q7" s="270"/>
      <c r="R7" s="286" t="s">
        <v>428</v>
      </c>
      <c r="S7" s="270" t="s">
        <v>393</v>
      </c>
      <c r="T7" s="270"/>
      <c r="U7" s="275" t="s">
        <v>430</v>
      </c>
      <c r="V7" s="266" t="s">
        <v>680</v>
      </c>
    </row>
    <row r="8" spans="1:22" s="3" customFormat="1" x14ac:dyDescent="0.25">
      <c r="A8" s="266"/>
      <c r="B8" s="266"/>
      <c r="C8" s="266"/>
      <c r="D8" s="285"/>
      <c r="E8" s="3" t="str">
        <f>"Dec-"&amp;YEAR('A1 (FF1 Inputs)'!$E$12)-1</f>
        <v>Dec-2019</v>
      </c>
      <c r="F8" s="3" t="str">
        <f>"Jan-"&amp;YEAR('A1 (FF1 Inputs)'!$E$12)</f>
        <v>Jan-2020</v>
      </c>
      <c r="G8" s="3" t="str">
        <f>"Feb-"&amp;YEAR('A1 (FF1 Inputs)'!$E$12)</f>
        <v>Feb-2020</v>
      </c>
      <c r="H8" s="3" t="str">
        <f>"Mar-"&amp;YEAR('A1 (FF1 Inputs)'!$E$12)</f>
        <v>Mar-2020</v>
      </c>
      <c r="I8" s="3" t="str">
        <f>"Apr-"&amp;YEAR('A1 (FF1 Inputs)'!$E$12)</f>
        <v>Apr-2020</v>
      </c>
      <c r="J8" s="3" t="str">
        <f>"May-"&amp;YEAR('A1 (FF1 Inputs)'!$E$12)</f>
        <v>May-2020</v>
      </c>
      <c r="K8" s="3" t="str">
        <f>"Jun-"&amp;YEAR('A1 (FF1 Inputs)'!$E$12)</f>
        <v>Jun-2020</v>
      </c>
      <c r="L8" s="3" t="str">
        <f>"Jul-"&amp;YEAR('A1 (FF1 Inputs)'!$E$12)</f>
        <v>Jul-2020</v>
      </c>
      <c r="M8" s="3" t="str">
        <f>"Aug-"&amp;YEAR('A1 (FF1 Inputs)'!$E$12)</f>
        <v>Aug-2020</v>
      </c>
      <c r="N8" s="3" t="str">
        <f>"Sep-"&amp;YEAR('A1 (FF1 Inputs)'!$E$12)</f>
        <v>Sep-2020</v>
      </c>
      <c r="O8" s="3" t="str">
        <f>"Oct-"&amp;YEAR('A1 (FF1 Inputs)'!$E$12)</f>
        <v>Oct-2020</v>
      </c>
      <c r="P8" s="3" t="str">
        <f>"Nov-"&amp;YEAR('A1 (FF1 Inputs)'!$E$12)</f>
        <v>Nov-2020</v>
      </c>
      <c r="Q8" s="3" t="str">
        <f>"Dec-"&amp;YEAR('A1 (FF1 Inputs)'!$E$12)</f>
        <v>Dec-2020</v>
      </c>
      <c r="R8" s="286"/>
      <c r="S8" s="3" t="s">
        <v>5</v>
      </c>
      <c r="T8" s="3" t="s">
        <v>6</v>
      </c>
      <c r="U8" s="275"/>
      <c r="V8" s="266"/>
    </row>
    <row r="9" spans="1:22" s="1" customFormat="1" ht="31.5"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2" t="s">
        <v>395</v>
      </c>
      <c r="P9" s="2" t="s">
        <v>396</v>
      </c>
      <c r="Q9" s="2" t="s">
        <v>397</v>
      </c>
      <c r="R9" s="3" t="s">
        <v>429</v>
      </c>
      <c r="S9" s="2" t="s">
        <v>399</v>
      </c>
      <c r="T9" s="2" t="s">
        <v>400</v>
      </c>
      <c r="U9" s="2" t="s">
        <v>431</v>
      </c>
      <c r="V9" s="2" t="s">
        <v>402</v>
      </c>
    </row>
    <row r="10" spans="1:22" ht="5.25" customHeight="1" x14ac:dyDescent="0.25">
      <c r="A10" s="5"/>
      <c r="B10" s="5"/>
      <c r="C10" s="5"/>
      <c r="D10" s="5"/>
      <c r="E10" s="5"/>
      <c r="F10" s="5"/>
      <c r="G10" s="5"/>
      <c r="H10" s="5"/>
      <c r="I10" s="5"/>
      <c r="J10" s="5"/>
      <c r="K10" s="5"/>
      <c r="L10" s="5"/>
      <c r="M10" s="5"/>
      <c r="N10" s="5"/>
      <c r="O10" s="5"/>
      <c r="P10" s="5"/>
      <c r="Q10" s="5"/>
      <c r="R10" s="5"/>
      <c r="S10" s="5"/>
      <c r="T10" s="5"/>
      <c r="U10" s="5"/>
      <c r="V10" s="5"/>
    </row>
    <row r="11" spans="1:22" ht="5.25" customHeight="1" x14ac:dyDescent="0.25">
      <c r="A11"/>
    </row>
    <row r="12" spans="1:22" x14ac:dyDescent="0.25">
      <c r="A12" s="31" t="s">
        <v>411</v>
      </c>
      <c r="B12" s="32" t="s">
        <v>357</v>
      </c>
      <c r="C12" s="46" t="s">
        <v>357</v>
      </c>
      <c r="D12" s="31" t="s">
        <v>357</v>
      </c>
      <c r="E12" s="37">
        <v>0</v>
      </c>
      <c r="F12" s="37">
        <v>0</v>
      </c>
      <c r="G12" s="37">
        <v>0</v>
      </c>
      <c r="H12" s="37">
        <v>0</v>
      </c>
      <c r="I12" s="37">
        <v>0</v>
      </c>
      <c r="J12" s="37">
        <v>0</v>
      </c>
      <c r="K12" s="37">
        <v>0</v>
      </c>
      <c r="L12" s="37">
        <v>0</v>
      </c>
      <c r="M12" s="37">
        <v>0</v>
      </c>
      <c r="N12" s="37">
        <v>0</v>
      </c>
      <c r="O12" s="37">
        <v>0</v>
      </c>
      <c r="P12" s="37">
        <v>0</v>
      </c>
      <c r="Q12" s="37">
        <v>0</v>
      </c>
      <c r="R12" s="41">
        <f>AVERAGE(E12:Q12)</f>
        <v>0</v>
      </c>
      <c r="S12" s="31" t="s">
        <v>357</v>
      </c>
      <c r="T12" s="45">
        <f>IFERROR(VLOOKUP(S12,'A22 (Allocation Factors)'!$D:$F,3,0),0)</f>
        <v>0</v>
      </c>
      <c r="U12" s="41">
        <f>R12*T12</f>
        <v>0</v>
      </c>
      <c r="V12" s="46" t="s">
        <v>357</v>
      </c>
    </row>
    <row r="13" spans="1:22" x14ac:dyDescent="0.25">
      <c r="A13" s="31" t="s">
        <v>412</v>
      </c>
      <c r="B13" s="32" t="s">
        <v>357</v>
      </c>
      <c r="C13" s="46" t="s">
        <v>357</v>
      </c>
      <c r="D13" s="31" t="s">
        <v>357</v>
      </c>
      <c r="E13" s="37">
        <v>0</v>
      </c>
      <c r="F13" s="37">
        <v>0</v>
      </c>
      <c r="G13" s="37">
        <v>0</v>
      </c>
      <c r="H13" s="37">
        <v>0</v>
      </c>
      <c r="I13" s="37">
        <v>0</v>
      </c>
      <c r="J13" s="37">
        <v>0</v>
      </c>
      <c r="K13" s="37">
        <v>0</v>
      </c>
      <c r="L13" s="37">
        <v>0</v>
      </c>
      <c r="M13" s="37">
        <v>0</v>
      </c>
      <c r="N13" s="37">
        <v>0</v>
      </c>
      <c r="O13" s="37">
        <v>0</v>
      </c>
      <c r="P13" s="37">
        <v>0</v>
      </c>
      <c r="Q13" s="37">
        <v>0</v>
      </c>
      <c r="R13" s="41">
        <f t="shared" ref="R13:R18" si="0">AVERAGE(E13:Q13)</f>
        <v>0</v>
      </c>
      <c r="S13" s="31" t="s">
        <v>357</v>
      </c>
      <c r="T13" s="45">
        <f>IFERROR(VLOOKUP(S13,'A22 (Allocation Factors)'!$D:$F,3,0),0)</f>
        <v>0</v>
      </c>
      <c r="U13" s="41">
        <f t="shared" ref="U13:U18" si="1">R13*T13</f>
        <v>0</v>
      </c>
      <c r="V13" s="46" t="s">
        <v>357</v>
      </c>
    </row>
    <row r="14" spans="1:22" x14ac:dyDescent="0.25">
      <c r="A14" s="31" t="s">
        <v>413</v>
      </c>
      <c r="B14" s="32" t="s">
        <v>357</v>
      </c>
      <c r="C14" s="46" t="s">
        <v>357</v>
      </c>
      <c r="D14" s="31" t="s">
        <v>357</v>
      </c>
      <c r="E14" s="37">
        <v>0</v>
      </c>
      <c r="F14" s="37">
        <v>0</v>
      </c>
      <c r="G14" s="37">
        <v>0</v>
      </c>
      <c r="H14" s="37">
        <v>0</v>
      </c>
      <c r="I14" s="37">
        <v>0</v>
      </c>
      <c r="J14" s="37">
        <v>0</v>
      </c>
      <c r="K14" s="37">
        <v>0</v>
      </c>
      <c r="L14" s="37">
        <v>0</v>
      </c>
      <c r="M14" s="37">
        <v>0</v>
      </c>
      <c r="N14" s="37">
        <v>0</v>
      </c>
      <c r="O14" s="37">
        <v>0</v>
      </c>
      <c r="P14" s="37">
        <v>0</v>
      </c>
      <c r="Q14" s="37">
        <v>0</v>
      </c>
      <c r="R14" s="41">
        <f t="shared" si="0"/>
        <v>0</v>
      </c>
      <c r="S14" s="31" t="s">
        <v>357</v>
      </c>
      <c r="T14" s="45">
        <f>IFERROR(VLOOKUP(S14,'A22 (Allocation Factors)'!$D:$F,3,0),0)</f>
        <v>0</v>
      </c>
      <c r="U14" s="41">
        <f t="shared" si="1"/>
        <v>0</v>
      </c>
      <c r="V14" s="46" t="s">
        <v>357</v>
      </c>
    </row>
    <row r="15" spans="1:22" x14ac:dyDescent="0.25">
      <c r="A15" s="31" t="s">
        <v>357</v>
      </c>
      <c r="B15" s="32" t="s">
        <v>357</v>
      </c>
      <c r="C15" s="46" t="s">
        <v>357</v>
      </c>
      <c r="D15" s="31" t="s">
        <v>357</v>
      </c>
      <c r="E15" s="37">
        <v>0</v>
      </c>
      <c r="F15" s="37">
        <v>0</v>
      </c>
      <c r="G15" s="37">
        <v>0</v>
      </c>
      <c r="H15" s="37">
        <v>0</v>
      </c>
      <c r="I15" s="37">
        <v>0</v>
      </c>
      <c r="J15" s="37">
        <v>0</v>
      </c>
      <c r="K15" s="37">
        <v>0</v>
      </c>
      <c r="L15" s="37">
        <v>0</v>
      </c>
      <c r="M15" s="37">
        <v>0</v>
      </c>
      <c r="N15" s="37">
        <v>0</v>
      </c>
      <c r="O15" s="37">
        <v>0</v>
      </c>
      <c r="P15" s="37">
        <v>0</v>
      </c>
      <c r="Q15" s="37">
        <v>0</v>
      </c>
      <c r="R15" s="41">
        <f t="shared" si="0"/>
        <v>0</v>
      </c>
      <c r="S15" s="31" t="s">
        <v>357</v>
      </c>
      <c r="T15" s="45">
        <f>IFERROR(VLOOKUP(S15,'A22 (Allocation Factors)'!$D:$F,3,0),0)</f>
        <v>0</v>
      </c>
      <c r="U15" s="41">
        <f t="shared" si="1"/>
        <v>0</v>
      </c>
      <c r="V15" s="46" t="s">
        <v>357</v>
      </c>
    </row>
    <row r="16" spans="1:22" x14ac:dyDescent="0.25">
      <c r="A16" s="31" t="s">
        <v>357</v>
      </c>
      <c r="B16" s="32" t="s">
        <v>357</v>
      </c>
      <c r="C16" s="46" t="s">
        <v>357</v>
      </c>
      <c r="D16" s="31" t="s">
        <v>357</v>
      </c>
      <c r="E16" s="37">
        <v>0</v>
      </c>
      <c r="F16" s="37">
        <v>0</v>
      </c>
      <c r="G16" s="37">
        <v>0</v>
      </c>
      <c r="H16" s="37">
        <v>0</v>
      </c>
      <c r="I16" s="37">
        <v>0</v>
      </c>
      <c r="J16" s="37">
        <v>0</v>
      </c>
      <c r="K16" s="37">
        <v>0</v>
      </c>
      <c r="L16" s="37">
        <v>0</v>
      </c>
      <c r="M16" s="37">
        <v>0</v>
      </c>
      <c r="N16" s="37">
        <v>0</v>
      </c>
      <c r="O16" s="37">
        <v>0</v>
      </c>
      <c r="P16" s="37">
        <v>0</v>
      </c>
      <c r="Q16" s="37">
        <v>0</v>
      </c>
      <c r="R16" s="41">
        <f t="shared" si="0"/>
        <v>0</v>
      </c>
      <c r="S16" s="31" t="s">
        <v>357</v>
      </c>
      <c r="T16" s="45">
        <f>IFERROR(VLOOKUP(S16,'A22 (Allocation Factors)'!$D:$F,3,0),0)</f>
        <v>0</v>
      </c>
      <c r="U16" s="41">
        <f t="shared" si="1"/>
        <v>0</v>
      </c>
      <c r="V16" s="46" t="s">
        <v>357</v>
      </c>
    </row>
    <row r="17" spans="1:22" x14ac:dyDescent="0.25">
      <c r="A17" s="31" t="s">
        <v>357</v>
      </c>
      <c r="B17" s="32" t="s">
        <v>357</v>
      </c>
      <c r="C17" s="46" t="s">
        <v>357</v>
      </c>
      <c r="D17" s="31" t="s">
        <v>357</v>
      </c>
      <c r="E17" s="37">
        <v>0</v>
      </c>
      <c r="F17" s="37">
        <v>0</v>
      </c>
      <c r="G17" s="37">
        <v>0</v>
      </c>
      <c r="H17" s="37">
        <v>0</v>
      </c>
      <c r="I17" s="37">
        <v>0</v>
      </c>
      <c r="J17" s="37">
        <v>0</v>
      </c>
      <c r="K17" s="37">
        <v>0</v>
      </c>
      <c r="L17" s="37">
        <v>0</v>
      </c>
      <c r="M17" s="37">
        <v>0</v>
      </c>
      <c r="N17" s="37">
        <v>0</v>
      </c>
      <c r="O17" s="37">
        <v>0</v>
      </c>
      <c r="P17" s="37">
        <v>0</v>
      </c>
      <c r="Q17" s="37">
        <v>0</v>
      </c>
      <c r="R17" s="41">
        <f t="shared" si="0"/>
        <v>0</v>
      </c>
      <c r="S17" s="31" t="s">
        <v>357</v>
      </c>
      <c r="T17" s="45">
        <f>IFERROR(VLOOKUP(S17,'A22 (Allocation Factors)'!$D:$F,3,0),0)</f>
        <v>0</v>
      </c>
      <c r="U17" s="41">
        <f t="shared" si="1"/>
        <v>0</v>
      </c>
      <c r="V17" s="46" t="s">
        <v>357</v>
      </c>
    </row>
    <row r="18" spans="1:22" x14ac:dyDescent="0.25">
      <c r="A18" s="1" t="s">
        <v>478</v>
      </c>
      <c r="B18" s="104" t="s">
        <v>357</v>
      </c>
      <c r="C18" s="48" t="s">
        <v>357</v>
      </c>
      <c r="D18" s="73" t="s">
        <v>357</v>
      </c>
      <c r="E18" s="20">
        <v>0</v>
      </c>
      <c r="F18" s="20">
        <v>0</v>
      </c>
      <c r="G18" s="20">
        <v>0</v>
      </c>
      <c r="H18" s="20">
        <v>0</v>
      </c>
      <c r="I18" s="20">
        <v>0</v>
      </c>
      <c r="J18" s="20">
        <v>0</v>
      </c>
      <c r="K18" s="20">
        <v>0</v>
      </c>
      <c r="L18" s="20">
        <v>0</v>
      </c>
      <c r="M18" s="20">
        <v>0</v>
      </c>
      <c r="N18" s="20">
        <v>0</v>
      </c>
      <c r="O18" s="20">
        <v>0</v>
      </c>
      <c r="P18" s="20">
        <v>0</v>
      </c>
      <c r="Q18" s="20">
        <v>0</v>
      </c>
      <c r="R18" s="10">
        <f t="shared" si="0"/>
        <v>0</v>
      </c>
      <c r="S18" s="73" t="s">
        <v>357</v>
      </c>
      <c r="T18" s="74">
        <f>IFERROR(VLOOKUP(S18,'A22 (Allocation Factors)'!$D:$F,3,0),0)</f>
        <v>0</v>
      </c>
      <c r="U18" s="10">
        <f t="shared" si="1"/>
        <v>0</v>
      </c>
      <c r="V18" s="48" t="s">
        <v>357</v>
      </c>
    </row>
    <row r="19" spans="1:22" s="6" customFormat="1" x14ac:dyDescent="0.25">
      <c r="A19" s="88">
        <v>2</v>
      </c>
      <c r="B19" s="89" t="str">
        <f>"Total Land and Land Rights Held for Future Use (Sum Lns. ("&amp;A12&amp;" through "&amp;A18&amp;"))"</f>
        <v>Total Land and Land Rights Held for Future Use (Sum Lns. (1a through 1zz))</v>
      </c>
      <c r="C19" s="89"/>
      <c r="D19" s="89"/>
      <c r="E19" s="90">
        <f t="shared" ref="E19:R19" si="2">SUM(E12:E18)</f>
        <v>0</v>
      </c>
      <c r="F19" s="90">
        <f t="shared" si="2"/>
        <v>0</v>
      </c>
      <c r="G19" s="90">
        <f t="shared" si="2"/>
        <v>0</v>
      </c>
      <c r="H19" s="90">
        <f t="shared" si="2"/>
        <v>0</v>
      </c>
      <c r="I19" s="90">
        <f t="shared" si="2"/>
        <v>0</v>
      </c>
      <c r="J19" s="90">
        <f t="shared" si="2"/>
        <v>0</v>
      </c>
      <c r="K19" s="90">
        <f t="shared" si="2"/>
        <v>0</v>
      </c>
      <c r="L19" s="90">
        <f t="shared" si="2"/>
        <v>0</v>
      </c>
      <c r="M19" s="90">
        <f t="shared" si="2"/>
        <v>0</v>
      </c>
      <c r="N19" s="90">
        <f t="shared" si="2"/>
        <v>0</v>
      </c>
      <c r="O19" s="90">
        <f t="shared" si="2"/>
        <v>0</v>
      </c>
      <c r="P19" s="90">
        <f t="shared" si="2"/>
        <v>0</v>
      </c>
      <c r="Q19" s="90">
        <f t="shared" si="2"/>
        <v>0</v>
      </c>
      <c r="R19" s="90">
        <f t="shared" si="2"/>
        <v>0</v>
      </c>
      <c r="S19" s="89"/>
      <c r="T19" s="89"/>
      <c r="U19" s="90">
        <f t="shared" ref="U19" si="3">SUM(U12:U18)</f>
        <v>0</v>
      </c>
      <c r="V19" s="89"/>
    </row>
    <row r="20" spans="1:22" ht="5.25" customHeight="1" x14ac:dyDescent="0.25">
      <c r="A20" s="14"/>
      <c r="B20" s="5"/>
      <c r="C20" s="5"/>
      <c r="D20" s="5"/>
      <c r="E20" s="5"/>
      <c r="F20" s="5"/>
      <c r="G20" s="5"/>
      <c r="H20" s="5"/>
      <c r="I20" s="5"/>
      <c r="J20" s="5"/>
      <c r="K20" s="5"/>
      <c r="L20" s="5"/>
      <c r="M20" s="5"/>
      <c r="N20" s="5"/>
      <c r="O20" s="5"/>
      <c r="P20" s="5"/>
      <c r="Q20" s="5"/>
      <c r="R20" s="5"/>
      <c r="S20" s="5"/>
      <c r="T20" s="5"/>
      <c r="U20" s="5"/>
      <c r="V20" s="5"/>
    </row>
    <row r="21" spans="1:22" ht="5.25" customHeight="1" x14ac:dyDescent="0.25"/>
    <row r="22" spans="1:22" x14ac:dyDescent="0.25">
      <c r="A22" s="22" t="str">
        <f>note</f>
        <v>Notes and Sources:</v>
      </c>
    </row>
    <row r="23" spans="1:22" ht="18.75" customHeight="1" x14ac:dyDescent="0.25">
      <c r="A23" s="23">
        <v>1</v>
      </c>
      <c r="B23" s="274" t="str">
        <f>"Unless otherwise stated, source of shaded cells is company input/records. Lines "&amp;A12&amp;" through "&amp;A18&amp;" represent adjustable lines that may be expanded/compressed on an annual basis to provide for a sufficient breakout of land and land rights held for future use balances."</f>
        <v>Unless otherwise stated, source of shaded cells is company input/records. Lines 1a through 1zz represent adjustable lines that may be expanded/compressed on an annual basis to provide for a sufficient breakout of land and land rights held for future use balances.</v>
      </c>
      <c r="C23" s="274"/>
      <c r="D23" s="274"/>
    </row>
    <row r="24" spans="1:22" ht="15.75" customHeight="1" x14ac:dyDescent="0.25">
      <c r="A24" s="23"/>
      <c r="B24" s="274"/>
      <c r="C24" s="274"/>
      <c r="D24" s="274"/>
    </row>
    <row r="25" spans="1:22" ht="15.75" customHeight="1" x14ac:dyDescent="0.25">
      <c r="A25" s="23"/>
      <c r="B25" s="274"/>
      <c r="C25" s="274"/>
      <c r="D25" s="274"/>
    </row>
    <row r="26" spans="1:22" ht="18.75" customHeight="1" x14ac:dyDescent="0.25">
      <c r="A26" s="23">
        <v>2</v>
      </c>
      <c r="B26" s="274" t="s">
        <v>864</v>
      </c>
      <c r="C26" s="274"/>
      <c r="D26" s="274"/>
    </row>
    <row r="27" spans="1:22" ht="15.75" customHeight="1" x14ac:dyDescent="0.25">
      <c r="A27" s="23"/>
      <c r="B27" s="274"/>
      <c r="C27" s="274"/>
      <c r="D27" s="274"/>
    </row>
    <row r="28" spans="1:22" ht="15.75" customHeight="1" x14ac:dyDescent="0.25">
      <c r="A28" s="82">
        <v>3</v>
      </c>
      <c r="B28" s="274" t="str">
        <f>"Only network allocator codes listed on "&amp;'A22 (Allocation Factors)'!F1&amp;" may be inputed."</f>
        <v>Only network allocator codes listed on Worksheet A22 may be inputed.</v>
      </c>
      <c r="C28" s="274"/>
      <c r="D28" s="274"/>
    </row>
    <row r="29" spans="1:22" ht="15.75" customHeight="1" x14ac:dyDescent="0.25">
      <c r="A29" s="23"/>
      <c r="B29" s="274"/>
      <c r="C29" s="274"/>
      <c r="D29" s="274"/>
    </row>
    <row r="30" spans="1:22" ht="5.25" customHeight="1" thickBot="1" x14ac:dyDescent="0.3">
      <c r="A30" s="24"/>
      <c r="B30" s="4"/>
      <c r="C30" s="4"/>
      <c r="D30" s="4"/>
      <c r="E30" s="4"/>
      <c r="F30" s="4"/>
      <c r="G30" s="4"/>
      <c r="H30" s="4"/>
      <c r="I30" s="4"/>
      <c r="J30" s="4"/>
      <c r="K30" s="4"/>
      <c r="L30" s="4"/>
      <c r="M30" s="4"/>
      <c r="N30" s="4"/>
      <c r="O30" s="4"/>
      <c r="P30" s="4"/>
      <c r="Q30" s="4"/>
      <c r="R30" s="4"/>
      <c r="S30" s="4"/>
      <c r="T30" s="4"/>
      <c r="U30" s="4"/>
      <c r="V30" s="4"/>
    </row>
    <row r="31" spans="1:22" ht="5.25" customHeight="1" thickTop="1" x14ac:dyDescent="0.25"/>
  </sheetData>
  <mergeCells count="13">
    <mergeCell ref="V7:V8"/>
    <mergeCell ref="R7:R8"/>
    <mergeCell ref="S7:T7"/>
    <mergeCell ref="U7:U8"/>
    <mergeCell ref="B28:D29"/>
    <mergeCell ref="E7:K7"/>
    <mergeCell ref="L7:Q7"/>
    <mergeCell ref="A7:A9"/>
    <mergeCell ref="B7:B8"/>
    <mergeCell ref="C7:C8"/>
    <mergeCell ref="D7:D8"/>
    <mergeCell ref="B26:D27"/>
    <mergeCell ref="B23:D25"/>
  </mergeCells>
  <pageMargins left="0.7" right="0.7" top="0.75" bottom="0.75" header="0.3" footer="0.3"/>
  <pageSetup scale="67" fitToWidth="4" orientation="landscape" horizontalDpi="1200" verticalDpi="1200" r:id="rId1"/>
  <headerFooter>
    <oddFooter>&amp;L&amp;6{W0327924.2 }</oddFooter>
  </headerFooter>
  <colBreaks count="1" manualBreakCount="1">
    <brk id="11" max="30"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F32"/>
  <sheetViews>
    <sheetView workbookViewId="0"/>
  </sheetViews>
  <sheetFormatPr defaultRowHeight="15.75" x14ac:dyDescent="0.25"/>
  <cols>
    <col min="1" max="1" width="5" style="1" customWidth="1"/>
    <col min="2" max="2" width="32.125" customWidth="1"/>
    <col min="3" max="6" width="17.625" customWidth="1"/>
    <col min="8" max="8" width="14.125" bestFit="1" customWidth="1"/>
  </cols>
  <sheetData>
    <row r="1" spans="1:6" x14ac:dyDescent="0.25">
      <c r="A1" s="6" t="str">
        <f>epe</f>
        <v>El Paso Electric Company</v>
      </c>
      <c r="F1" s="8" t="s">
        <v>602</v>
      </c>
    </row>
    <row r="2" spans="1:6" x14ac:dyDescent="0.25">
      <c r="A2" t="str">
        <f>frta</f>
        <v>Formula Rate Template (Actuals)</v>
      </c>
    </row>
    <row r="3" spans="1:6" x14ac:dyDescent="0.25">
      <c r="A3" t="s">
        <v>38</v>
      </c>
    </row>
    <row r="4" spans="1:6" x14ac:dyDescent="0.25">
      <c r="A4" t="str">
        <f>"12 Months Ended December 31, "&amp;YEAR('A1 (FF1 Inputs)'!$E$12)</f>
        <v>12 Months Ended December 31, 2020</v>
      </c>
    </row>
    <row r="5" spans="1:6" ht="5.25" customHeight="1" thickBot="1" x14ac:dyDescent="0.3">
      <c r="A5" s="4"/>
      <c r="B5" s="4"/>
      <c r="C5" s="4"/>
      <c r="D5" s="4"/>
      <c r="E5" s="4"/>
      <c r="F5" s="4"/>
    </row>
    <row r="6" spans="1:6" ht="5.25" customHeight="1" thickTop="1" x14ac:dyDescent="0.25">
      <c r="A6"/>
    </row>
    <row r="7" spans="1:6" s="40" customFormat="1" ht="57.75" customHeight="1" x14ac:dyDescent="0.25">
      <c r="A7" s="267" t="str">
        <f>ln</f>
        <v>Line No.</v>
      </c>
      <c r="B7" s="40" t="s">
        <v>363</v>
      </c>
      <c r="C7" s="246" t="s">
        <v>1116</v>
      </c>
      <c r="D7" s="246" t="s">
        <v>1117</v>
      </c>
      <c r="E7" s="40" t="s">
        <v>376</v>
      </c>
      <c r="F7" s="40" t="s">
        <v>39</v>
      </c>
    </row>
    <row r="8" spans="1:6" s="1" customFormat="1" x14ac:dyDescent="0.25">
      <c r="A8" s="267"/>
      <c r="B8" s="2" t="s">
        <v>7</v>
      </c>
      <c r="C8" s="2" t="s">
        <v>8</v>
      </c>
      <c r="D8" s="2" t="s">
        <v>9</v>
      </c>
      <c r="E8" s="3" t="s">
        <v>380</v>
      </c>
      <c r="F8" s="2" t="s">
        <v>11</v>
      </c>
    </row>
    <row r="9" spans="1:6" ht="5.25" customHeight="1" x14ac:dyDescent="0.25">
      <c r="A9" s="5"/>
      <c r="B9" s="5"/>
      <c r="C9" s="5"/>
      <c r="D9" s="5"/>
      <c r="E9" s="5"/>
      <c r="F9" s="5"/>
    </row>
    <row r="10" spans="1:6" ht="5.25" customHeight="1" x14ac:dyDescent="0.25">
      <c r="A10"/>
    </row>
    <row r="11" spans="1:6" ht="18.75" x14ac:dyDescent="0.25">
      <c r="A11"/>
      <c r="B11" s="21" t="s">
        <v>379</v>
      </c>
    </row>
    <row r="12" spans="1:6" x14ac:dyDescent="0.25">
      <c r="A12" s="1">
        <f>1</f>
        <v>1</v>
      </c>
      <c r="B12" s="78" t="s">
        <v>661</v>
      </c>
      <c r="C12" s="77" t="str">
        <f>'A1 (FF1 Inputs)'!$E$1&amp;", Ln. "&amp;'A1 (FF1 Inputs)'!A63</f>
        <v>Worksheet A1, Ln. 40</v>
      </c>
      <c r="D12" s="77" t="str">
        <f>'A1 (FF1 Inputs)'!$E$1&amp;", Ln. "&amp;'A1 (FF1 Inputs)'!A64</f>
        <v>Worksheet A1, Ln. 41</v>
      </c>
      <c r="F12" s="77" t="str">
        <f>'A1 (FF1 Inputs)'!$E$1&amp;", Ln. "&amp;'A1 (FF1 Inputs)'!A16</f>
        <v>Worksheet A1, Ln. 3</v>
      </c>
    </row>
    <row r="13" spans="1:6" x14ac:dyDescent="0.25">
      <c r="A13" s="1">
        <f>A12+1</f>
        <v>2</v>
      </c>
      <c r="B13" t="s">
        <v>370</v>
      </c>
      <c r="C13" s="41">
        <f>'A1 (FF1 Inputs)'!D63</f>
        <v>2668375</v>
      </c>
      <c r="D13" s="41">
        <f>'A1 (FF1 Inputs)'!D64</f>
        <v>1145</v>
      </c>
      <c r="E13" s="41">
        <f>SUM(C13:D13)</f>
        <v>2669520</v>
      </c>
      <c r="F13" s="41">
        <f>'A1 (FF1 Inputs)'!D16</f>
        <v>10941642</v>
      </c>
    </row>
    <row r="14" spans="1:6" x14ac:dyDescent="0.25">
      <c r="A14" s="1">
        <f>A13+1</f>
        <v>3</v>
      </c>
      <c r="B14" t="s">
        <v>79</v>
      </c>
      <c r="C14" s="37">
        <v>2713121.6037790277</v>
      </c>
      <c r="D14" s="37">
        <v>1396.95</v>
      </c>
      <c r="E14" s="41">
        <f t="shared" ref="E14:E25" si="0">SUM(C14:D14)</f>
        <v>2714518.5537790279</v>
      </c>
      <c r="F14" s="37">
        <v>11138235.470000001</v>
      </c>
    </row>
    <row r="15" spans="1:6" x14ac:dyDescent="0.25">
      <c r="A15" s="1">
        <f t="shared" ref="A15:A26" si="1">A14+1</f>
        <v>4</v>
      </c>
      <c r="B15" t="s">
        <v>80</v>
      </c>
      <c r="C15" s="37">
        <v>2758618.573810834</v>
      </c>
      <c r="D15" s="37">
        <v>-3559.69</v>
      </c>
      <c r="E15" s="41">
        <f t="shared" si="0"/>
        <v>2755058.883810834</v>
      </c>
      <c r="F15" s="37">
        <v>15991030.720000001</v>
      </c>
    </row>
    <row r="16" spans="1:6" x14ac:dyDescent="0.25">
      <c r="A16" s="1">
        <f t="shared" si="1"/>
        <v>5</v>
      </c>
      <c r="B16" t="s">
        <v>81</v>
      </c>
      <c r="C16" s="37">
        <v>2804878.4931624169</v>
      </c>
      <c r="D16" s="37">
        <v>-0.02</v>
      </c>
      <c r="E16" s="41">
        <f t="shared" si="0"/>
        <v>2804878.4731624168</v>
      </c>
      <c r="F16" s="37">
        <v>15267124.939999999</v>
      </c>
    </row>
    <row r="17" spans="1:6" x14ac:dyDescent="0.25">
      <c r="A17" s="1">
        <f t="shared" si="1"/>
        <v>6</v>
      </c>
      <c r="B17" t="s">
        <v>82</v>
      </c>
      <c r="C17" s="37">
        <v>2851914.1559091653</v>
      </c>
      <c r="D17" s="37">
        <v>-136.88</v>
      </c>
      <c r="E17" s="41">
        <f t="shared" si="0"/>
        <v>2851777.2759091654</v>
      </c>
      <c r="F17" s="37">
        <v>17191734.260000002</v>
      </c>
    </row>
    <row r="18" spans="1:6" x14ac:dyDescent="0.25">
      <c r="A18" s="1">
        <f t="shared" si="1"/>
        <v>7</v>
      </c>
      <c r="B18" t="s">
        <v>83</v>
      </c>
      <c r="C18" s="37">
        <v>2899738.5706733074</v>
      </c>
      <c r="D18" s="37">
        <v>-263.57</v>
      </c>
      <c r="E18" s="41">
        <f t="shared" si="0"/>
        <v>2899475.0006733076</v>
      </c>
      <c r="F18" s="37">
        <v>20551323.84</v>
      </c>
    </row>
    <row r="19" spans="1:6" x14ac:dyDescent="0.25">
      <c r="A19" s="1">
        <f t="shared" si="1"/>
        <v>8</v>
      </c>
      <c r="B19" t="s">
        <v>84</v>
      </c>
      <c r="C19" s="37">
        <v>2948364.9642216964</v>
      </c>
      <c r="D19" s="37">
        <v>298.37</v>
      </c>
      <c r="E19" s="41">
        <f t="shared" si="0"/>
        <v>2948663.3342216965</v>
      </c>
      <c r="F19" s="37">
        <v>23038512.350000001</v>
      </c>
    </row>
    <row r="20" spans="1:6" x14ac:dyDescent="0.25">
      <c r="A20" s="1">
        <f t="shared" si="1"/>
        <v>9</v>
      </c>
      <c r="B20" t="s">
        <v>85</v>
      </c>
      <c r="C20" s="37">
        <v>2997806.7851239294</v>
      </c>
      <c r="D20" s="37">
        <v>-0.02</v>
      </c>
      <c r="E20" s="41">
        <f t="shared" si="0"/>
        <v>2997806.7651239294</v>
      </c>
      <c r="F20" s="37">
        <v>20819111.640000001</v>
      </c>
    </row>
    <row r="21" spans="1:6" x14ac:dyDescent="0.25">
      <c r="A21" s="1">
        <f t="shared" si="1"/>
        <v>10</v>
      </c>
      <c r="B21" t="s">
        <v>86</v>
      </c>
      <c r="C21" s="37">
        <v>3048077.7074718084</v>
      </c>
      <c r="D21" s="37">
        <v>14404</v>
      </c>
      <c r="E21" s="41">
        <f t="shared" si="0"/>
        <v>3062481.7074718084</v>
      </c>
      <c r="F21" s="37">
        <v>20030555.899999999</v>
      </c>
    </row>
    <row r="22" spans="1:6" x14ac:dyDescent="0.25">
      <c r="A22" s="1">
        <f t="shared" si="1"/>
        <v>11</v>
      </c>
      <c r="B22" t="s">
        <v>87</v>
      </c>
      <c r="C22" s="37">
        <v>3099191.6346611758</v>
      </c>
      <c r="D22" s="37">
        <v>-0.02</v>
      </c>
      <c r="E22" s="41">
        <f t="shared" si="0"/>
        <v>3099191.6146611758</v>
      </c>
      <c r="F22" s="37">
        <v>23843911.77</v>
      </c>
    </row>
    <row r="23" spans="1:6" x14ac:dyDescent="0.25">
      <c r="A23" s="1">
        <f t="shared" si="1"/>
        <v>12</v>
      </c>
      <c r="B23" t="s">
        <v>88</v>
      </c>
      <c r="C23" s="37">
        <v>3151162.7032371671</v>
      </c>
      <c r="D23" s="37">
        <v>805</v>
      </c>
      <c r="E23" s="41">
        <f t="shared" si="0"/>
        <v>3151967.7032371671</v>
      </c>
      <c r="F23" s="37">
        <v>20800020.030000001</v>
      </c>
    </row>
    <row r="24" spans="1:6" x14ac:dyDescent="0.25">
      <c r="A24" s="1">
        <f t="shared" si="1"/>
        <v>13</v>
      </c>
      <c r="B24" t="s">
        <v>89</v>
      </c>
      <c r="C24" s="37">
        <v>3204005.2868039459</v>
      </c>
      <c r="D24" s="37">
        <v>-0.02</v>
      </c>
      <c r="E24" s="41">
        <f t="shared" si="0"/>
        <v>3204005.2668039459</v>
      </c>
      <c r="F24" s="37">
        <v>24084236.82</v>
      </c>
    </row>
    <row r="25" spans="1:6" x14ac:dyDescent="0.25">
      <c r="A25" s="1">
        <f t="shared" si="1"/>
        <v>14</v>
      </c>
      <c r="B25" t="s">
        <v>90</v>
      </c>
      <c r="C25" s="10">
        <f>'A1 (FF1 Inputs)'!E63</f>
        <v>3257734</v>
      </c>
      <c r="D25" s="10">
        <f>'A1 (FF1 Inputs)'!E64</f>
        <v>-4548</v>
      </c>
      <c r="E25" s="41">
        <f t="shared" si="0"/>
        <v>3253186</v>
      </c>
      <c r="F25" s="10">
        <f>'A1 (FF1 Inputs)'!E16</f>
        <v>18997423</v>
      </c>
    </row>
    <row r="26" spans="1:6" x14ac:dyDescent="0.25">
      <c r="A26" s="1">
        <f t="shared" si="1"/>
        <v>15</v>
      </c>
      <c r="B26" t="s">
        <v>369</v>
      </c>
      <c r="C26" s="19">
        <f>IFERROR(AVERAGE(C13:C25),0)</f>
        <v>2954076.1137580369</v>
      </c>
      <c r="D26" s="19">
        <f t="shared" ref="D26:F26" si="2">IFERROR(AVERAGE(D13:D25),0)</f>
        <v>733.9307692307691</v>
      </c>
      <c r="E26" s="19">
        <f t="shared" si="2"/>
        <v>2954810.0445272676</v>
      </c>
      <c r="F26" s="19">
        <f t="shared" si="2"/>
        <v>18668835.59538462</v>
      </c>
    </row>
    <row r="27" spans="1:6" ht="5.25" customHeight="1" x14ac:dyDescent="0.25">
      <c r="A27" s="14"/>
      <c r="B27" s="5"/>
      <c r="C27" s="5"/>
      <c r="D27" s="5"/>
      <c r="E27" s="5"/>
      <c r="F27" s="5"/>
    </row>
    <row r="28" spans="1:6" ht="5.25" customHeight="1" x14ac:dyDescent="0.25"/>
    <row r="29" spans="1:6" x14ac:dyDescent="0.25">
      <c r="A29" s="22" t="str">
        <f>note</f>
        <v>Notes and Sources:</v>
      </c>
    </row>
    <row r="30" spans="1:6" ht="32.25" customHeight="1" x14ac:dyDescent="0.25">
      <c r="A30" s="85">
        <v>1</v>
      </c>
      <c r="B30" s="265" t="str">
        <f>"Unless otherwise stated, source of shaded cells is company input/records. Sources for certain BOY/EOY balances are listed on line "&amp;A12&amp;"."</f>
        <v>Unless otherwise stated, source of shaded cells is company input/records. Sources for certain BOY/EOY balances are listed on line 1.</v>
      </c>
      <c r="C30" s="265"/>
      <c r="D30" s="265"/>
      <c r="E30" s="265"/>
      <c r="F30" s="265"/>
    </row>
    <row r="31" spans="1:6" ht="5.25" customHeight="1" thickBot="1" x14ac:dyDescent="0.3">
      <c r="A31" s="24"/>
      <c r="B31" s="4"/>
      <c r="C31" s="4"/>
      <c r="D31" s="4"/>
      <c r="E31" s="4"/>
      <c r="F31" s="4"/>
    </row>
    <row r="32" spans="1:6" ht="5.25" customHeight="1" thickTop="1" x14ac:dyDescent="0.25"/>
  </sheetData>
  <mergeCells count="2">
    <mergeCell ref="A7:A8"/>
    <mergeCell ref="B30:F30"/>
  </mergeCells>
  <pageMargins left="0.7" right="0.7" top="0.75" bottom="0.75" header="0.3" footer="0.3"/>
  <pageSetup orientation="landscape" horizontalDpi="1200" verticalDpi="1200" r:id="rId1"/>
  <headerFooter>
    <oddFooter>&amp;L&amp;6{W0327924.2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K40"/>
  <sheetViews>
    <sheetView workbookViewId="0"/>
  </sheetViews>
  <sheetFormatPr defaultRowHeight="15.75" x14ac:dyDescent="0.25"/>
  <cols>
    <col min="1" max="1" width="5" style="1" customWidth="1"/>
    <col min="2" max="2" width="64.25" bestFit="1" customWidth="1"/>
    <col min="3" max="3" width="32.125" customWidth="1"/>
    <col min="4" max="4" width="15.625" customWidth="1"/>
    <col min="5" max="5" width="5.625" customWidth="1"/>
    <col min="6" max="6" width="7.75" customWidth="1"/>
    <col min="7" max="7" width="8.75" customWidth="1"/>
    <col min="8" max="8" width="5.625" customWidth="1"/>
    <col min="9" max="9" width="15.625" customWidth="1"/>
  </cols>
  <sheetData>
    <row r="1" spans="1:11" x14ac:dyDescent="0.25">
      <c r="A1" s="6" t="str">
        <f>epe</f>
        <v>El Paso Electric Company</v>
      </c>
      <c r="I1" s="8" t="s">
        <v>611</v>
      </c>
    </row>
    <row r="2" spans="1:11" x14ac:dyDescent="0.25">
      <c r="A2" t="str">
        <f>frta</f>
        <v>Formula Rate Template (Actuals)</v>
      </c>
    </row>
    <row r="3" spans="1:11" x14ac:dyDescent="0.25">
      <c r="A3" t="s">
        <v>446</v>
      </c>
    </row>
    <row r="4" spans="1:11" x14ac:dyDescent="0.25">
      <c r="A4" t="str">
        <f>"12 Months Ended December 31, "&amp;YEAR('A1 (FF1 Inputs)'!$E$12)</f>
        <v>12 Months Ended December 31, 2020</v>
      </c>
    </row>
    <row r="5" spans="1:11" ht="5.25" customHeight="1" thickBot="1" x14ac:dyDescent="0.3">
      <c r="A5" s="4"/>
      <c r="B5" s="4"/>
      <c r="C5" s="4"/>
      <c r="D5" s="4"/>
      <c r="E5" s="4"/>
      <c r="F5" s="4"/>
      <c r="G5" s="4"/>
      <c r="H5" s="4"/>
      <c r="I5" s="4"/>
    </row>
    <row r="6" spans="1:11" ht="5.25" customHeight="1" thickTop="1" x14ac:dyDescent="0.25">
      <c r="A6"/>
    </row>
    <row r="7" spans="1:11" s="3" customFormat="1" ht="15.75" customHeight="1" x14ac:dyDescent="0.25">
      <c r="A7" s="267" t="str">
        <f>ln</f>
        <v>Line No.</v>
      </c>
      <c r="B7" s="266" t="str">
        <f>des</f>
        <v>Description</v>
      </c>
      <c r="C7" s="266" t="str">
        <f>ref</f>
        <v>Reference</v>
      </c>
      <c r="D7" s="266" t="str">
        <f>tot</f>
        <v>Total Company Amount</v>
      </c>
      <c r="E7" s="266"/>
      <c r="F7" s="270" t="s">
        <v>393</v>
      </c>
      <c r="G7" s="270"/>
      <c r="H7" s="266"/>
      <c r="I7" s="266" t="str">
        <f>ferc</f>
        <v>Network Transmission</v>
      </c>
    </row>
    <row r="8" spans="1:11" s="3" customFormat="1" x14ac:dyDescent="0.25">
      <c r="A8" s="267"/>
      <c r="B8" s="266"/>
      <c r="C8" s="266"/>
      <c r="D8" s="266"/>
      <c r="E8" s="266"/>
      <c r="F8" s="3" t="s">
        <v>5</v>
      </c>
      <c r="G8" s="3" t="s">
        <v>6</v>
      </c>
      <c r="H8" s="266"/>
      <c r="I8" s="266"/>
    </row>
    <row r="9" spans="1:11" s="1" customFormat="1" x14ac:dyDescent="0.25">
      <c r="A9" s="267"/>
      <c r="B9" s="1" t="s">
        <v>7</v>
      </c>
      <c r="C9" s="1" t="s">
        <v>8</v>
      </c>
      <c r="D9" s="1" t="s">
        <v>9</v>
      </c>
      <c r="F9" s="1" t="s">
        <v>10</v>
      </c>
      <c r="G9" s="1" t="s">
        <v>11</v>
      </c>
      <c r="I9" s="1" t="s">
        <v>12</v>
      </c>
    </row>
    <row r="10" spans="1:11" ht="5.25" customHeight="1" x14ac:dyDescent="0.25">
      <c r="A10" s="5"/>
      <c r="B10" s="5"/>
      <c r="C10" s="5"/>
      <c r="D10" s="5"/>
      <c r="E10" s="5"/>
      <c r="F10" s="5"/>
      <c r="G10" s="5"/>
      <c r="H10" s="5"/>
      <c r="I10" s="5"/>
    </row>
    <row r="11" spans="1:11" ht="5.25" customHeight="1" x14ac:dyDescent="0.25">
      <c r="A11"/>
    </row>
    <row r="12" spans="1:11" x14ac:dyDescent="0.25">
      <c r="B12" s="12" t="s">
        <v>351</v>
      </c>
    </row>
    <row r="13" spans="1:11" x14ac:dyDescent="0.25">
      <c r="A13" s="1">
        <v>1</v>
      </c>
      <c r="B13" s="210" t="s">
        <v>1124</v>
      </c>
      <c r="C13" s="210" t="s">
        <v>309</v>
      </c>
      <c r="D13" s="20">
        <v>0</v>
      </c>
      <c r="K13" s="10"/>
    </row>
    <row r="14" spans="1:11" x14ac:dyDescent="0.25">
      <c r="A14" s="1">
        <f>A13+1</f>
        <v>2</v>
      </c>
      <c r="B14" s="210" t="s">
        <v>1136</v>
      </c>
      <c r="C14" s="210"/>
      <c r="D14" s="231"/>
    </row>
    <row r="15" spans="1:11" x14ac:dyDescent="0.25">
      <c r="A15" s="1">
        <f>A14+1</f>
        <v>3</v>
      </c>
      <c r="B15" t="s">
        <v>255</v>
      </c>
      <c r="C15" t="str">
        <f>'A1 (FF1 Inputs)'!$E$1&amp;", Ln. "&amp;'A1 (FF1 Inputs)'!A89</f>
        <v>Worksheet A1, Ln. 60</v>
      </c>
      <c r="D15" s="10">
        <f>'A1 (FF1 Inputs)'!E89</f>
        <v>1693142</v>
      </c>
    </row>
    <row r="16" spans="1:11" ht="18.75" x14ac:dyDescent="0.25">
      <c r="A16" s="1">
        <f>A15+1</f>
        <v>4</v>
      </c>
      <c r="B16" t="s">
        <v>1025</v>
      </c>
      <c r="C16" t="s">
        <v>309</v>
      </c>
      <c r="D16" s="20">
        <v>225622.45</v>
      </c>
    </row>
    <row r="17" spans="1:9" x14ac:dyDescent="0.25">
      <c r="A17" s="1">
        <f>A16+1</f>
        <v>5</v>
      </c>
      <c r="B17" t="s">
        <v>352</v>
      </c>
      <c r="C17" t="str">
        <f>"Lns. ("&amp;A13&amp;" + "&amp;A14&amp;" + "&amp;A15&amp;" - "&amp;A16&amp;")"</f>
        <v>Lns. (1 + 2 + 3 - 4)</v>
      </c>
      <c r="D17" s="11">
        <f>SUM(D13:D15)-D16</f>
        <v>1467519.55</v>
      </c>
    </row>
    <row r="18" spans="1:9" x14ac:dyDescent="0.25">
      <c r="D18" s="10"/>
    </row>
    <row r="19" spans="1:9" ht="18.75" x14ac:dyDescent="0.25">
      <c r="A19" s="1">
        <f>A17+1</f>
        <v>6</v>
      </c>
      <c r="B19" t="s">
        <v>1026</v>
      </c>
      <c r="C19" t="s">
        <v>309</v>
      </c>
      <c r="D19" s="20">
        <v>-3848723</v>
      </c>
    </row>
    <row r="20" spans="1:9" x14ac:dyDescent="0.25">
      <c r="D20" s="10"/>
    </row>
    <row r="21" spans="1:9" x14ac:dyDescent="0.25">
      <c r="B21" s="12" t="s">
        <v>447</v>
      </c>
    </row>
    <row r="22" spans="1:9" x14ac:dyDescent="0.25">
      <c r="A22" s="1">
        <f>A19+1</f>
        <v>7</v>
      </c>
      <c r="B22" t="s">
        <v>257</v>
      </c>
      <c r="C22" t="str">
        <f>'A1 (FF1 Inputs)'!$E$1&amp;", Ln. "&amp;'A1 (FF1 Inputs)'!A88</f>
        <v>Worksheet A1, Ln. 59</v>
      </c>
      <c r="D22" s="10">
        <f>'A1 (FF1 Inputs)'!E88</f>
        <v>15095260</v>
      </c>
    </row>
    <row r="24" spans="1:9" ht="18.75" x14ac:dyDescent="0.25">
      <c r="B24" t="s">
        <v>1027</v>
      </c>
    </row>
    <row r="25" spans="1:9" x14ac:dyDescent="0.25">
      <c r="A25" s="31" t="s">
        <v>549</v>
      </c>
      <c r="B25" s="32" t="s">
        <v>358</v>
      </c>
      <c r="C25" s="32" t="s">
        <v>1036</v>
      </c>
      <c r="D25" s="37">
        <v>62248</v>
      </c>
    </row>
    <row r="26" spans="1:9" x14ac:dyDescent="0.25">
      <c r="A26" s="33" t="s">
        <v>653</v>
      </c>
      <c r="B26" s="34" t="s">
        <v>359</v>
      </c>
      <c r="C26" s="32" t="s">
        <v>1037</v>
      </c>
      <c r="D26" s="38">
        <v>487710</v>
      </c>
    </row>
    <row r="27" spans="1:9" x14ac:dyDescent="0.25">
      <c r="A27" s="33" t="s">
        <v>654</v>
      </c>
      <c r="B27" s="34" t="s">
        <v>360</v>
      </c>
      <c r="C27" s="32" t="s">
        <v>1038</v>
      </c>
      <c r="D27" s="38">
        <v>79594</v>
      </c>
    </row>
    <row r="28" spans="1:9" x14ac:dyDescent="0.25">
      <c r="A28" s="33" t="s">
        <v>357</v>
      </c>
      <c r="B28" s="53" t="s">
        <v>357</v>
      </c>
      <c r="C28" s="32" t="s">
        <v>357</v>
      </c>
      <c r="D28" s="38"/>
    </row>
    <row r="29" spans="1:9" x14ac:dyDescent="0.25">
      <c r="A29" s="14" t="s">
        <v>550</v>
      </c>
      <c r="B29" s="35" t="s">
        <v>357</v>
      </c>
      <c r="C29" s="35" t="s">
        <v>357</v>
      </c>
      <c r="D29" s="39"/>
    </row>
    <row r="30" spans="1:9" x14ac:dyDescent="0.25">
      <c r="A30" s="36">
        <f>A22+2</f>
        <v>9</v>
      </c>
      <c r="B30" s="9" t="s">
        <v>361</v>
      </c>
      <c r="C30" s="257" t="str">
        <f>"Sum Lns. ("&amp;A25&amp;" through "&amp;A29&amp;")"</f>
        <v>Sum Lns. (7a through 7zz)</v>
      </c>
      <c r="D30" s="211">
        <f>SUM(D25:D29)</f>
        <v>629552</v>
      </c>
      <c r="F30" s="1" t="s">
        <v>16</v>
      </c>
      <c r="G30" s="27">
        <f>VLOOKUP(F30,'A22 (Allocation Factors)'!$D:$F,3,0)</f>
        <v>0.99107572717159387</v>
      </c>
      <c r="I30" s="10">
        <f>D30*G30</f>
        <v>623933.70619233127</v>
      </c>
    </row>
    <row r="31" spans="1:9" ht="5.25" customHeight="1" x14ac:dyDescent="0.25">
      <c r="A31" s="14"/>
      <c r="B31" s="5"/>
      <c r="C31" s="5"/>
      <c r="D31" s="5"/>
      <c r="E31" s="5"/>
      <c r="F31" s="5"/>
      <c r="G31" s="5"/>
      <c r="H31" s="5"/>
      <c r="I31" s="5"/>
    </row>
    <row r="32" spans="1:9" ht="5.25" customHeight="1" x14ac:dyDescent="0.25"/>
    <row r="33" spans="1:9" x14ac:dyDescent="0.25">
      <c r="A33" s="22" t="str">
        <f>note</f>
        <v>Notes and Sources:</v>
      </c>
    </row>
    <row r="34" spans="1:9" ht="18.75" x14ac:dyDescent="0.25">
      <c r="A34" s="23">
        <v>1</v>
      </c>
      <c r="B34" t="s">
        <v>1024</v>
      </c>
      <c r="C34" s="190"/>
      <c r="D34" s="190"/>
      <c r="E34" s="190"/>
      <c r="F34" s="190"/>
      <c r="G34" s="190"/>
      <c r="H34" s="190"/>
      <c r="I34" s="190"/>
    </row>
    <row r="35" spans="1:9" ht="18.75" x14ac:dyDescent="0.25">
      <c r="A35" s="23">
        <v>2</v>
      </c>
      <c r="B35" t="s">
        <v>1039</v>
      </c>
    </row>
    <row r="36" spans="1:9" x14ac:dyDescent="0.25">
      <c r="B36" t="s">
        <v>1028</v>
      </c>
    </row>
    <row r="37" spans="1:9" ht="18.75" x14ac:dyDescent="0.25">
      <c r="A37" s="23">
        <v>3</v>
      </c>
      <c r="B37" t="str">
        <f>"Amounts included on lines "&amp;A25&amp;" through "&amp;A29&amp;" are limited to transmission-related regulatory commission expenses as listed on pages 350-351 of the Company's FERC Form No. 1."</f>
        <v>Amounts included on lines 7a through 7zz are limited to transmission-related regulatory commission expenses as listed on pages 350-351 of the Company's FERC Form No. 1.</v>
      </c>
    </row>
    <row r="38" spans="1:9" ht="15.75" customHeight="1" x14ac:dyDescent="0.25">
      <c r="A38" s="23"/>
      <c r="B38" t="str">
        <f>"Lines "&amp;A25&amp;" through "&amp;A29&amp;" represent adjustable lines that may be expanded/compressed on an annual basis to provide for a sufficient breakout of transmission-related regulatory commission expenses."</f>
        <v>Lines 7a through 7zz represent adjustable lines that may be expanded/compressed on an annual basis to provide for a sufficient breakout of transmission-related regulatory commission expenses.</v>
      </c>
    </row>
    <row r="39" spans="1:9" ht="5.25" customHeight="1" thickBot="1" x14ac:dyDescent="0.3">
      <c r="A39" s="24"/>
      <c r="B39" s="4"/>
      <c r="C39" s="4"/>
      <c r="D39" s="4"/>
      <c r="E39" s="4"/>
      <c r="F39" s="4"/>
      <c r="G39" s="4"/>
      <c r="H39" s="4"/>
      <c r="I39" s="4"/>
    </row>
    <row r="40" spans="1:9" ht="5.25" customHeight="1" thickTop="1" x14ac:dyDescent="0.25"/>
  </sheetData>
  <mergeCells count="8">
    <mergeCell ref="H7:H8"/>
    <mergeCell ref="I7:I8"/>
    <mergeCell ref="F7:G7"/>
    <mergeCell ref="A7:A9"/>
    <mergeCell ref="B7:B8"/>
    <mergeCell ref="C7:C8"/>
    <mergeCell ref="D7:D8"/>
    <mergeCell ref="E7:E8"/>
  </mergeCells>
  <pageMargins left="0.7" right="0.7" top="0.75" bottom="0.75" header="0.3" footer="0.3"/>
  <pageSetup scale="71" orientation="landscape" horizontalDpi="1200" verticalDpi="1200" r:id="rId1"/>
  <headerFooter>
    <oddFooter>&amp;L&amp;6{W0327924.2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M164"/>
  <sheetViews>
    <sheetView zoomScale="70" zoomScaleNormal="70" workbookViewId="0">
      <selection activeCell="A22" sqref="A22"/>
    </sheetView>
  </sheetViews>
  <sheetFormatPr defaultRowHeight="15.75" x14ac:dyDescent="0.25"/>
  <cols>
    <col min="1" max="1" width="5.125" customWidth="1"/>
    <col min="2" max="2" width="65.25" customWidth="1"/>
    <col min="3" max="3" width="37.75" bestFit="1" customWidth="1"/>
    <col min="4" max="4" width="16.75" customWidth="1"/>
    <col min="5" max="5" width="2.625" customWidth="1"/>
    <col min="6" max="6" width="6.25" customWidth="1"/>
    <col min="8" max="8" width="2.625" customWidth="1"/>
    <col min="9" max="9" width="16.75" style="10" customWidth="1"/>
    <col min="10" max="10" width="13.25" customWidth="1"/>
    <col min="11" max="11" width="11.125" bestFit="1" customWidth="1"/>
    <col min="12" max="12" width="14.75" customWidth="1"/>
    <col min="13" max="13" width="11.625" bestFit="1" customWidth="1"/>
  </cols>
  <sheetData>
    <row r="1" spans="1:9" x14ac:dyDescent="0.25">
      <c r="A1" s="6" t="s">
        <v>0</v>
      </c>
      <c r="B1" s="6"/>
      <c r="C1" s="6"/>
      <c r="D1" s="6"/>
      <c r="E1" s="6"/>
      <c r="F1" s="6"/>
      <c r="G1" s="6"/>
      <c r="H1" s="6"/>
      <c r="I1" s="8" t="s">
        <v>278</v>
      </c>
    </row>
    <row r="2" spans="1:9" x14ac:dyDescent="0.25">
      <c r="A2" t="s">
        <v>45</v>
      </c>
      <c r="I2"/>
    </row>
    <row r="3" spans="1:9" x14ac:dyDescent="0.25">
      <c r="A3" t="s">
        <v>278</v>
      </c>
      <c r="I3"/>
    </row>
    <row r="4" spans="1:9" x14ac:dyDescent="0.25">
      <c r="A4" t="str">
        <f>"12 Months Ended December 31, "&amp;YEAR('A1 (FF1 Inputs)'!$E$12)</f>
        <v>12 Months Ended December 31, 2020</v>
      </c>
      <c r="I4"/>
    </row>
    <row r="5" spans="1:9" ht="5.25" customHeight="1" thickBot="1" x14ac:dyDescent="0.3">
      <c r="A5" s="4"/>
      <c r="B5" s="4"/>
      <c r="C5" s="4"/>
      <c r="D5" s="4"/>
      <c r="E5" s="4"/>
      <c r="F5" s="4"/>
      <c r="G5" s="4"/>
      <c r="H5" s="4"/>
      <c r="I5" s="4"/>
    </row>
    <row r="6" spans="1:9" ht="5.25" customHeight="1" thickTop="1" x14ac:dyDescent="0.25">
      <c r="I6"/>
    </row>
    <row r="7" spans="1:9" s="3" customFormat="1" ht="15.75" customHeight="1" x14ac:dyDescent="0.25">
      <c r="A7" s="267" t="s">
        <v>1</v>
      </c>
      <c r="B7" s="266" t="s">
        <v>2</v>
      </c>
      <c r="C7" s="266" t="s">
        <v>3</v>
      </c>
      <c r="D7" s="266" t="s">
        <v>4</v>
      </c>
      <c r="F7" s="268" t="s">
        <v>872</v>
      </c>
      <c r="G7" s="268"/>
      <c r="I7" s="266" t="s">
        <v>366</v>
      </c>
    </row>
    <row r="8" spans="1:9" s="3" customFormat="1" x14ac:dyDescent="0.25">
      <c r="A8" s="267"/>
      <c r="B8" s="266"/>
      <c r="C8" s="266"/>
      <c r="D8" s="266"/>
      <c r="F8" s="3" t="s">
        <v>5</v>
      </c>
      <c r="G8" s="3" t="s">
        <v>6</v>
      </c>
      <c r="I8" s="266"/>
    </row>
    <row r="9" spans="1:9" s="1" customFormat="1" ht="18.75" x14ac:dyDescent="0.25">
      <c r="A9" s="267"/>
      <c r="B9" s="1" t="s">
        <v>7</v>
      </c>
      <c r="C9" s="1" t="s">
        <v>1021</v>
      </c>
      <c r="D9" s="1" t="s">
        <v>9</v>
      </c>
      <c r="F9" s="1" t="s">
        <v>10</v>
      </c>
      <c r="G9" s="1" t="s">
        <v>11</v>
      </c>
      <c r="I9" s="1" t="s">
        <v>325</v>
      </c>
    </row>
    <row r="10" spans="1:9" ht="5.25" customHeight="1" x14ac:dyDescent="0.25">
      <c r="A10" s="5"/>
      <c r="B10" s="5"/>
      <c r="C10" s="5"/>
      <c r="D10" s="5"/>
      <c r="E10" s="5"/>
      <c r="F10" s="5"/>
      <c r="G10" s="5"/>
      <c r="H10" s="5"/>
      <c r="I10" s="5"/>
    </row>
    <row r="11" spans="1:9" ht="5.25" customHeight="1" x14ac:dyDescent="0.25">
      <c r="I11"/>
    </row>
    <row r="12" spans="1:9" ht="15.75" customHeight="1" x14ac:dyDescent="0.25">
      <c r="B12" s="6" t="s">
        <v>43</v>
      </c>
      <c r="I12"/>
    </row>
    <row r="13" spans="1:9" ht="15.75" customHeight="1" x14ac:dyDescent="0.25">
      <c r="I13"/>
    </row>
    <row r="14" spans="1:9" x14ac:dyDescent="0.25">
      <c r="A14" s="1">
        <v>1</v>
      </c>
      <c r="B14" t="s">
        <v>13</v>
      </c>
      <c r="C14" t="str">
        <f>"Ln. "&amp;A142</f>
        <v>Ln. 86</v>
      </c>
      <c r="D14" s="10">
        <f>D142</f>
        <v>494565034.85943526</v>
      </c>
      <c r="I14" s="10">
        <f>I142</f>
        <v>79362988.675758779</v>
      </c>
    </row>
    <row r="15" spans="1:9" x14ac:dyDescent="0.25">
      <c r="A15" s="1"/>
      <c r="D15" s="10"/>
    </row>
    <row r="16" spans="1:9" x14ac:dyDescent="0.25">
      <c r="A16" s="1"/>
      <c r="B16" s="12" t="s">
        <v>14</v>
      </c>
      <c r="D16" s="10"/>
    </row>
    <row r="17" spans="1:13" x14ac:dyDescent="0.25">
      <c r="A17" s="1">
        <f>A14+1</f>
        <v>2</v>
      </c>
      <c r="B17" s="7" t="s">
        <v>381</v>
      </c>
      <c r="C17" t="str">
        <f>'A3 (Revenue Credits)'!$O$1&amp;", Ln. "&amp;'A3 (Revenue Credits)'!A21&amp;" Cols. [i] and [l]"</f>
        <v>Worksheet A3, Ln. 9 Cols. [i] and [l]</v>
      </c>
      <c r="D17" s="10">
        <f>'A3 (Revenue Credits)'!J21</f>
        <v>3106011.8</v>
      </c>
      <c r="F17" s="1"/>
      <c r="I17" s="10">
        <f>'A3 (Revenue Credits)'!O21</f>
        <v>325268.83641476877</v>
      </c>
    </row>
    <row r="18" spans="1:13" x14ac:dyDescent="0.25">
      <c r="A18" s="1">
        <f>A17+1</f>
        <v>3</v>
      </c>
      <c r="B18" s="7" t="s">
        <v>382</v>
      </c>
      <c r="C18" s="210" t="str">
        <f>'A3 (Revenue Credits)'!$O$1&amp;", Ln. "&amp;'A3 (Revenue Credits)'!A42&amp;" Cols. [i] and [l]"</f>
        <v>Worksheet A3, Ln. 26 Cols. [i] and [l]</v>
      </c>
      <c r="D18" s="10">
        <f>'A3 (Revenue Credits)'!J42</f>
        <v>24579633.180000003</v>
      </c>
      <c r="F18" s="1"/>
      <c r="I18" s="10">
        <f>'A3 (Revenue Credits)'!O42</f>
        <v>10585007.753826173</v>
      </c>
    </row>
    <row r="19" spans="1:13" x14ac:dyDescent="0.25">
      <c r="A19" s="209">
        <f>+A18+1</f>
        <v>4</v>
      </c>
      <c r="B19" s="230" t="s">
        <v>1114</v>
      </c>
      <c r="C19" s="210" t="str">
        <f>'A3 (Revenue Credits)'!$O$1&amp;", Ln. "&amp;'A3 (Revenue Credits)'!A44&amp;" Cols. [i] and [l]"</f>
        <v>Worksheet A3, Ln. 27 Cols. [i] and [l]</v>
      </c>
      <c r="D19" s="231">
        <f>'A3 (Revenue Credits)'!J44</f>
        <v>0</v>
      </c>
      <c r="E19" s="210"/>
      <c r="F19" s="209"/>
      <c r="G19" s="210"/>
      <c r="H19" s="210"/>
      <c r="I19" s="231">
        <f>'A3 (Revenue Credits)'!O44</f>
        <v>0</v>
      </c>
    </row>
    <row r="20" spans="1:13" x14ac:dyDescent="0.25">
      <c r="A20" s="209">
        <f>+A19+1</f>
        <v>5</v>
      </c>
      <c r="B20" s="210" t="str">
        <f>"Total "&amp;B16</f>
        <v>Total Revenue Credits</v>
      </c>
      <c r="C20" s="210" t="s">
        <v>1149</v>
      </c>
      <c r="D20" s="211">
        <f>SUM(D17:D19)</f>
        <v>27685644.980000004</v>
      </c>
      <c r="E20" s="210"/>
      <c r="F20" s="210"/>
      <c r="G20" s="210"/>
      <c r="H20" s="210"/>
      <c r="I20" s="211">
        <f>SUM(I17:I19)</f>
        <v>10910276.590240942</v>
      </c>
    </row>
    <row r="21" spans="1:13" x14ac:dyDescent="0.25">
      <c r="A21" s="1"/>
      <c r="D21" s="10"/>
    </row>
    <row r="22" spans="1:13" ht="16.5" thickBot="1" x14ac:dyDescent="0.3">
      <c r="A22" s="1">
        <f>A20+1</f>
        <v>6</v>
      </c>
      <c r="B22" t="s">
        <v>17</v>
      </c>
      <c r="C22" t="str">
        <f>"Lns. ("&amp;A14&amp;" - "&amp;A20&amp;")"</f>
        <v>Lns. (1 - 5)</v>
      </c>
      <c r="D22" s="13">
        <f>D14-D20</f>
        <v>466879389.87943524</v>
      </c>
      <c r="I22" s="13">
        <f>I14-I20</f>
        <v>68452712.085517839</v>
      </c>
      <c r="M22" s="10"/>
    </row>
    <row r="23" spans="1:13" ht="16.5" thickTop="1" x14ac:dyDescent="0.25">
      <c r="A23" s="1"/>
      <c r="D23" s="10"/>
    </row>
    <row r="24" spans="1:13" x14ac:dyDescent="0.25">
      <c r="A24" s="1">
        <f>A22+1</f>
        <v>7</v>
      </c>
      <c r="B24" t="s">
        <v>852</v>
      </c>
      <c r="C24" t="str">
        <f>'A2 (Divisor)'!J1&amp;", Ln. "&amp;'A2 (Divisor)'!A27</f>
        <v>Worksheet A2, Ln. 16</v>
      </c>
      <c r="D24" s="10"/>
      <c r="I24" s="71">
        <f>'A2 (Divisor)'!J27</f>
        <v>2767750</v>
      </c>
    </row>
    <row r="25" spans="1:13" x14ac:dyDescent="0.25">
      <c r="A25" s="1"/>
      <c r="B25" s="210"/>
      <c r="C25" s="210"/>
      <c r="D25" s="231"/>
      <c r="E25" s="210"/>
      <c r="F25" s="210"/>
      <c r="G25" s="210"/>
      <c r="H25" s="210"/>
      <c r="I25" s="231"/>
      <c r="J25" s="210"/>
    </row>
    <row r="26" spans="1:13" x14ac:dyDescent="0.25">
      <c r="A26" s="1"/>
      <c r="B26" s="232" t="s">
        <v>19</v>
      </c>
      <c r="C26" s="210"/>
      <c r="D26" s="231"/>
      <c r="E26" s="210"/>
      <c r="F26" s="210"/>
      <c r="G26" s="210"/>
      <c r="H26" s="210"/>
      <c r="I26" s="231"/>
      <c r="J26" s="210"/>
      <c r="M26" s="213"/>
    </row>
    <row r="27" spans="1:13" x14ac:dyDescent="0.25">
      <c r="A27" s="1">
        <f>A24+1</f>
        <v>8</v>
      </c>
      <c r="B27" s="210" t="s">
        <v>1123</v>
      </c>
      <c r="C27" s="210" t="str">
        <f>"Lns. ("&amp;A22&amp;" / "&amp;A24&amp;") x 1,000"</f>
        <v>Lns. (6 / 7) x 1,000</v>
      </c>
      <c r="D27" s="231"/>
      <c r="E27" s="210"/>
      <c r="F27" s="210"/>
      <c r="G27" s="210"/>
      <c r="H27" s="210"/>
      <c r="I27" s="233">
        <f>IFERROR(ROUND(I22/I24*1000,2),0)</f>
        <v>24732.26</v>
      </c>
      <c r="J27" s="210"/>
      <c r="M27" s="214"/>
    </row>
    <row r="28" spans="1:13" x14ac:dyDescent="0.25">
      <c r="A28" s="1">
        <f>A27+1</f>
        <v>9</v>
      </c>
      <c r="B28" s="210" t="s">
        <v>1126</v>
      </c>
      <c r="C28" s="210" t="str">
        <f>"Ln. "&amp;$A$27&amp;" / 12.0 Months"</f>
        <v>Ln. 8 / 12.0 Months</v>
      </c>
      <c r="D28" s="231"/>
      <c r="E28" s="210"/>
      <c r="F28" s="210"/>
      <c r="G28" s="210"/>
      <c r="H28" s="210"/>
      <c r="I28" s="233">
        <f>IFERROR(ROUND($I$27/12,2),0)</f>
        <v>2061.02</v>
      </c>
      <c r="J28" s="210"/>
      <c r="M28" s="214"/>
    </row>
    <row r="29" spans="1:13" x14ac:dyDescent="0.25">
      <c r="A29" s="1">
        <f t="shared" ref="A29:A33" si="0">A28+1</f>
        <v>10</v>
      </c>
      <c r="B29" s="210" t="s">
        <v>1127</v>
      </c>
      <c r="C29" s="210" t="str">
        <f>"Ln. "&amp;$A$27&amp;" / 52.0 Weeks"</f>
        <v>Ln. 8 / 52.0 Weeks</v>
      </c>
      <c r="D29" s="231"/>
      <c r="E29" s="210"/>
      <c r="F29" s="210"/>
      <c r="G29" s="210"/>
      <c r="H29" s="210"/>
      <c r="I29" s="233">
        <f>IFERROR(ROUND($I$27/52,2),0)</f>
        <v>475.62</v>
      </c>
      <c r="J29" s="210"/>
      <c r="M29" s="214"/>
    </row>
    <row r="30" spans="1:13" x14ac:dyDescent="0.25">
      <c r="A30" s="1">
        <f t="shared" si="0"/>
        <v>11</v>
      </c>
      <c r="B30" s="210" t="s">
        <v>1128</v>
      </c>
      <c r="C30" s="210" t="str">
        <f>"Ln. "&amp;$A$29&amp;" / 6.0 Days"</f>
        <v>Ln. 10 / 6.0 Days</v>
      </c>
      <c r="D30" s="231"/>
      <c r="E30" s="210"/>
      <c r="F30" s="210"/>
      <c r="G30" s="210"/>
      <c r="H30" s="210"/>
      <c r="I30" s="233">
        <f>IFERROR(ROUND($I$29/6,2),0)</f>
        <v>79.27</v>
      </c>
      <c r="J30" s="210"/>
      <c r="M30" s="214"/>
    </row>
    <row r="31" spans="1:13" x14ac:dyDescent="0.25">
      <c r="A31" s="1">
        <f t="shared" si="0"/>
        <v>12</v>
      </c>
      <c r="B31" s="210" t="s">
        <v>1129</v>
      </c>
      <c r="C31" s="210" t="str">
        <f>"Ln. "&amp;$A$29&amp;" / 7.0 Days"</f>
        <v>Ln. 10 / 7.0 Days</v>
      </c>
      <c r="D31" s="231"/>
      <c r="E31" s="210"/>
      <c r="F31" s="210"/>
      <c r="G31" s="210"/>
      <c r="H31" s="210"/>
      <c r="I31" s="233">
        <f>IFERROR(ROUND($I$29/7,2),0)</f>
        <v>67.95</v>
      </c>
      <c r="J31" s="210"/>
      <c r="M31" s="214"/>
    </row>
    <row r="32" spans="1:13" x14ac:dyDescent="0.25">
      <c r="A32" s="1">
        <f t="shared" si="0"/>
        <v>13</v>
      </c>
      <c r="B32" s="210" t="s">
        <v>20</v>
      </c>
      <c r="C32" s="210" t="str">
        <f>"Ln. "&amp;$A$30&amp;" / 16.0 Hours"</f>
        <v>Ln. 11 / 16.0 Hours</v>
      </c>
      <c r="D32" s="231"/>
      <c r="E32" s="210"/>
      <c r="F32" s="210"/>
      <c r="G32" s="210"/>
      <c r="H32" s="210"/>
      <c r="I32" s="234">
        <f>ROUND(IFERROR(I30/16,0),4)</f>
        <v>4.9543999999999997</v>
      </c>
      <c r="J32" s="210"/>
      <c r="M32" s="72"/>
    </row>
    <row r="33" spans="1:13" x14ac:dyDescent="0.25">
      <c r="A33" s="1">
        <f t="shared" si="0"/>
        <v>14</v>
      </c>
      <c r="B33" s="210" t="s">
        <v>21</v>
      </c>
      <c r="C33" s="210" t="str">
        <f>"Ln. "&amp;$A$31&amp;" / 24.0 Hours"</f>
        <v>Ln. 12 / 24.0 Hours</v>
      </c>
      <c r="D33" s="231"/>
      <c r="E33" s="210"/>
      <c r="F33" s="210"/>
      <c r="G33" s="210"/>
      <c r="H33" s="210"/>
      <c r="I33" s="234">
        <f>ROUND(IFERROR(I31/24,0),4)</f>
        <v>2.8313000000000001</v>
      </c>
      <c r="J33" s="210"/>
      <c r="M33" s="72"/>
    </row>
    <row r="34" spans="1:13" x14ac:dyDescent="0.25">
      <c r="A34" s="1"/>
      <c r="B34" s="210"/>
      <c r="C34" s="210"/>
      <c r="D34" s="231"/>
      <c r="E34" s="210"/>
      <c r="F34" s="210"/>
      <c r="G34" s="210"/>
      <c r="H34" s="210"/>
      <c r="I34" s="231"/>
      <c r="J34" s="210"/>
    </row>
    <row r="35" spans="1:13" x14ac:dyDescent="0.25">
      <c r="A35" s="1"/>
      <c r="B35" s="6" t="s">
        <v>23</v>
      </c>
      <c r="D35" s="10"/>
    </row>
    <row r="36" spans="1:13" x14ac:dyDescent="0.25">
      <c r="A36" s="1"/>
      <c r="D36" s="10"/>
    </row>
    <row r="37" spans="1:13" ht="18.75" x14ac:dyDescent="0.25">
      <c r="A37" s="1"/>
      <c r="B37" s="12" t="s">
        <v>857</v>
      </c>
      <c r="D37" s="10"/>
    </row>
    <row r="38" spans="1:13" x14ac:dyDescent="0.25">
      <c r="A38" s="1">
        <f>A33+1</f>
        <v>15</v>
      </c>
      <c r="B38" t="s">
        <v>24</v>
      </c>
      <c r="C38" t="str">
        <f>'A4 (Plant)'!$J$1&amp;", Lns. ("&amp;'A4 (Plant)'!$A$26&amp;" - "&amp;'A4 (Plant)'!$A$43&amp;")"</f>
        <v>Worksheet A4, Lns. (15 - 30)</v>
      </c>
      <c r="D38" s="10">
        <f>'A4 (Plant)'!C26-'A4 (Plant)'!C43</f>
        <v>3099086313.2307692</v>
      </c>
      <c r="F38" s="1" t="s">
        <v>29</v>
      </c>
      <c r="G38" s="27">
        <f>VLOOKUP(F38,'A22 (Allocation Factors)'!$D:$F,3,0)</f>
        <v>0</v>
      </c>
      <c r="I38" s="10">
        <f t="shared" ref="I38:I41" si="1">D38*G38</f>
        <v>0</v>
      </c>
    </row>
    <row r="39" spans="1:13" x14ac:dyDescent="0.25">
      <c r="A39" s="1">
        <f>A38+1</f>
        <v>16</v>
      </c>
      <c r="B39" t="s">
        <v>25</v>
      </c>
      <c r="C39" t="str">
        <f>'A4 (Plant)'!$J$1&amp;", Lns. ("&amp;'A4 (Plant)'!$A$26&amp;" - "&amp;'A4 (Plant)'!$A$43&amp;")"</f>
        <v>Worksheet A4, Lns. (15 - 30)</v>
      </c>
      <c r="D39" s="10">
        <f>'A4 (Plant)'!G26-'A4 (Plant)'!G43</f>
        <v>562544677.30769229</v>
      </c>
      <c r="F39" s="1" t="s">
        <v>16</v>
      </c>
      <c r="G39" s="27">
        <f>VLOOKUP(F39,'A22 (Allocation Factors)'!$D:$F,3,0)</f>
        <v>0.99107572717159387</v>
      </c>
      <c r="I39" s="10">
        <f>D39*G39</f>
        <v>557524375.12923074</v>
      </c>
    </row>
    <row r="40" spans="1:13" x14ac:dyDescent="0.25">
      <c r="A40" s="1">
        <f t="shared" ref="A40:A41" si="2">A39+1</f>
        <v>17</v>
      </c>
      <c r="B40" t="s">
        <v>26</v>
      </c>
      <c r="C40" t="str">
        <f>'A4 (Plant)'!$J$1&amp;", Lns. ("&amp;'A4 (Plant)'!$A$26&amp;" - "&amp;'A4 (Plant)'!$A$43&amp;")"</f>
        <v>Worksheet A4, Lns. (15 - 30)</v>
      </c>
      <c r="D40" s="10">
        <f>'A4 (Plant)'!D26-'A4 (Plant)'!D43</f>
        <v>1394522056.7692308</v>
      </c>
      <c r="F40" s="1" t="s">
        <v>29</v>
      </c>
      <c r="G40" s="27">
        <f>VLOOKUP(F40,'A22 (Allocation Factors)'!$D:$F,3,0)</f>
        <v>0</v>
      </c>
      <c r="I40" s="10">
        <f t="shared" si="1"/>
        <v>0</v>
      </c>
    </row>
    <row r="41" spans="1:13" x14ac:dyDescent="0.25">
      <c r="A41" s="1">
        <f t="shared" si="2"/>
        <v>18</v>
      </c>
      <c r="B41" t="s">
        <v>27</v>
      </c>
      <c r="C41" t="str">
        <f>'A4 (Plant)'!$J$1&amp;", Lns. ("&amp;'A4 (Plant)'!$A$26&amp;" - "&amp;'A4 (Plant)'!$A$43&amp;")"</f>
        <v>Worksheet A4, Lns. (15 - 30)</v>
      </c>
      <c r="D41" s="10">
        <f>'A4 (Plant)'!H26+'A4 (Plant)'!I26-'A4 (Plant)'!H43-'A4 (Plant)'!I43</f>
        <v>438921789.84615386</v>
      </c>
      <c r="F41" s="1" t="s">
        <v>288</v>
      </c>
      <c r="G41" s="27">
        <f>VLOOKUP(F41,'A22 (Allocation Factors)'!$D:$F,3,0)</f>
        <v>0.20882221657345243</v>
      </c>
      <c r="I41" s="10">
        <f t="shared" si="1"/>
        <v>91656621.058060914</v>
      </c>
    </row>
    <row r="42" spans="1:13" x14ac:dyDescent="0.25">
      <c r="A42" s="1">
        <f>A41+1</f>
        <v>19</v>
      </c>
      <c r="B42" t="s">
        <v>858</v>
      </c>
      <c r="C42" t="str">
        <f>"Sum Lns. ("&amp;A38&amp;" through "&amp;A41&amp;")"</f>
        <v>Sum Lns. (15 through 18)</v>
      </c>
      <c r="D42" s="11">
        <f>SUM(D38:D41)</f>
        <v>5495074837.1538467</v>
      </c>
      <c r="I42" s="11">
        <f>SUM(I38:I41)</f>
        <v>649180996.18729162</v>
      </c>
    </row>
    <row r="43" spans="1:13" x14ac:dyDescent="0.25">
      <c r="A43" s="1"/>
      <c r="D43" s="10"/>
    </row>
    <row r="44" spans="1:13" ht="18.75" x14ac:dyDescent="0.25">
      <c r="A44" s="1"/>
      <c r="B44" s="12" t="s">
        <v>859</v>
      </c>
      <c r="D44" s="10"/>
    </row>
    <row r="45" spans="1:13" x14ac:dyDescent="0.25">
      <c r="A45" s="1">
        <f>A42+1</f>
        <v>20</v>
      </c>
      <c r="B45" t="s">
        <v>24</v>
      </c>
      <c r="C45" t="str">
        <f>'A4 (Plant)'!$J$1&amp;", Lns. ("&amp;'A4 (Plant)'!$A$59&amp;" - "&amp;'A4 (Plant)'!$A$75&amp;")"</f>
        <v>Worksheet A4, Lns. (44 - 58)</v>
      </c>
      <c r="D45" s="10">
        <f>'A4 (Plant)'!C59-'A4 (Plant)'!C75</f>
        <v>1621178138.3076923</v>
      </c>
      <c r="F45" s="1" t="s">
        <v>29</v>
      </c>
      <c r="G45" s="27">
        <f>VLOOKUP(F45,'A22 (Allocation Factors)'!$D:$F,3,0)</f>
        <v>0</v>
      </c>
      <c r="I45" s="10">
        <f t="shared" ref="I45:I48" si="3">D45*G45</f>
        <v>0</v>
      </c>
    </row>
    <row r="46" spans="1:13" x14ac:dyDescent="0.25">
      <c r="A46" s="1">
        <f>A45+1</f>
        <v>21</v>
      </c>
      <c r="B46" t="s">
        <v>25</v>
      </c>
      <c r="C46" t="str">
        <f>'A4 (Plant)'!$J$1&amp;", Lns. ("&amp;'A4 (Plant)'!$A$59&amp;" - "&amp;'A4 (Plant)'!$A$75&amp;")"</f>
        <v>Worksheet A4, Lns. (44 - 58)</v>
      </c>
      <c r="D46" s="10">
        <f>'A4 (Plant)'!G59-'A4 (Plant)'!G75</f>
        <v>245366166.92307693</v>
      </c>
      <c r="F46" s="1" t="s">
        <v>16</v>
      </c>
      <c r="G46" s="27">
        <f>VLOOKUP(F46,'A22 (Allocation Factors)'!$D:$F,3,0)</f>
        <v>0.99107572717159387</v>
      </c>
      <c r="I46" s="10">
        <f t="shared" si="3"/>
        <v>243176452.30659515</v>
      </c>
    </row>
    <row r="47" spans="1:13" x14ac:dyDescent="0.25">
      <c r="A47" s="1">
        <f>A46+1</f>
        <v>22</v>
      </c>
      <c r="B47" t="s">
        <v>26</v>
      </c>
      <c r="C47" t="str">
        <f>'A4 (Plant)'!$J$1&amp;", Lns. ("&amp;'A4 (Plant)'!$A$59&amp;" - "&amp;'A4 (Plant)'!$A$75&amp;")"</f>
        <v>Worksheet A4, Lns. (44 - 58)</v>
      </c>
      <c r="D47" s="10">
        <f>'A4 (Plant)'!D59-'A4 (Plant)'!D75</f>
        <v>403266984.92307693</v>
      </c>
      <c r="F47" s="1" t="s">
        <v>29</v>
      </c>
      <c r="G47" s="27">
        <f>VLOOKUP(F47,'A22 (Allocation Factors)'!$D:$F,3,0)</f>
        <v>0</v>
      </c>
      <c r="I47" s="10">
        <f t="shared" si="3"/>
        <v>0</v>
      </c>
    </row>
    <row r="48" spans="1:13" x14ac:dyDescent="0.25">
      <c r="A48" s="1">
        <f>A47+1</f>
        <v>23</v>
      </c>
      <c r="B48" t="s">
        <v>27</v>
      </c>
      <c r="C48" t="str">
        <f>'A4 (Plant)'!$J$1&amp;", Lns. ("&amp;'A4 (Plant)'!$A$59&amp;" - "&amp;'A4 (Plant)'!$A$75&amp;")"</f>
        <v>Worksheet A4, Lns. (44 - 58)</v>
      </c>
      <c r="D48" s="10">
        <f>'A4 (Plant)'!H59+'A4 (Plant)'!I59-'A4 (Plant)'!H75-'A4 (Plant)'!I75</f>
        <v>168029885.07784617</v>
      </c>
      <c r="F48" s="1" t="s">
        <v>288</v>
      </c>
      <c r="G48" s="27">
        <f>VLOOKUP(F48,'A22 (Allocation Factors)'!$D:$F,3,0)</f>
        <v>0.20882221657345243</v>
      </c>
      <c r="I48" s="10">
        <f t="shared" si="3"/>
        <v>35088373.052538313</v>
      </c>
    </row>
    <row r="49" spans="1:9" x14ac:dyDescent="0.25">
      <c r="A49" s="1">
        <f>A48+1</f>
        <v>24</v>
      </c>
      <c r="B49" t="s">
        <v>862</v>
      </c>
      <c r="C49" t="str">
        <f>"Sum Lns. ("&amp;A45&amp;" through "&amp;A48&amp;")"</f>
        <v>Sum Lns. (20 through 23)</v>
      </c>
      <c r="D49" s="11">
        <f>SUM(D45:D48)</f>
        <v>2437841175.2316923</v>
      </c>
      <c r="I49" s="11">
        <f>SUM(I45:I48)</f>
        <v>278264825.35913348</v>
      </c>
    </row>
    <row r="50" spans="1:9" x14ac:dyDescent="0.25">
      <c r="A50" s="1"/>
      <c r="D50" s="10"/>
    </row>
    <row r="51" spans="1:9" x14ac:dyDescent="0.25">
      <c r="A51" s="1"/>
      <c r="B51" s="12" t="s">
        <v>28</v>
      </c>
      <c r="D51" s="10"/>
    </row>
    <row r="52" spans="1:9" x14ac:dyDescent="0.25">
      <c r="A52" s="1">
        <f>A49+1</f>
        <v>25</v>
      </c>
      <c r="B52" t="s">
        <v>24</v>
      </c>
      <c r="C52" t="str">
        <f>"Lns. ("&amp;A38&amp;" - "&amp;A45&amp;")"</f>
        <v>Lns. (15 - 20)</v>
      </c>
      <c r="D52" s="10">
        <f>D38-D45</f>
        <v>1477908174.9230769</v>
      </c>
      <c r="I52" s="10">
        <f>I38-I45</f>
        <v>0</v>
      </c>
    </row>
    <row r="53" spans="1:9" x14ac:dyDescent="0.25">
      <c r="A53" s="1">
        <f>A52+1</f>
        <v>26</v>
      </c>
      <c r="B53" t="s">
        <v>25</v>
      </c>
      <c r="C53" t="str">
        <f t="shared" ref="C53:C55" si="4">"Lns. ("&amp;A39&amp;" - "&amp;A46&amp;")"</f>
        <v>Lns. (16 - 21)</v>
      </c>
      <c r="D53" s="10">
        <f t="shared" ref="D53:D55" si="5">D39-D46</f>
        <v>317178510.38461536</v>
      </c>
      <c r="I53" s="10">
        <f t="shared" ref="I53:I55" si="6">I39-I46</f>
        <v>314347922.82263559</v>
      </c>
    </row>
    <row r="54" spans="1:9" x14ac:dyDescent="0.25">
      <c r="A54" s="1">
        <f t="shared" ref="A54:A55" si="7">A53+1</f>
        <v>27</v>
      </c>
      <c r="B54" t="s">
        <v>26</v>
      </c>
      <c r="C54" t="str">
        <f t="shared" si="4"/>
        <v>Lns. (17 - 22)</v>
      </c>
      <c r="D54" s="10">
        <f t="shared" si="5"/>
        <v>991255071.84615397</v>
      </c>
      <c r="I54" s="10">
        <f t="shared" si="6"/>
        <v>0</v>
      </c>
    </row>
    <row r="55" spans="1:9" x14ac:dyDescent="0.25">
      <c r="A55" s="1">
        <f t="shared" si="7"/>
        <v>28</v>
      </c>
      <c r="B55" t="s">
        <v>27</v>
      </c>
      <c r="C55" t="str">
        <f t="shared" si="4"/>
        <v>Lns. (18 - 23)</v>
      </c>
      <c r="D55" s="10">
        <f t="shared" si="5"/>
        <v>270891904.76830769</v>
      </c>
      <c r="I55" s="10">
        <f t="shared" si="6"/>
        <v>56568248.005522601</v>
      </c>
    </row>
    <row r="56" spans="1:9" x14ac:dyDescent="0.25">
      <c r="A56" s="1">
        <f>A55+1</f>
        <v>29</v>
      </c>
      <c r="B56" t="str">
        <f>"Total "&amp;B51</f>
        <v>Total Net Plant in Service</v>
      </c>
      <c r="C56" t="str">
        <f>"Sum Lns. ("&amp;A52&amp;" through "&amp;A55&amp;")"</f>
        <v>Sum Lns. (25 through 28)</v>
      </c>
      <c r="D56" s="11">
        <f>SUM(D52:D55)</f>
        <v>3057233661.9221539</v>
      </c>
      <c r="I56" s="11">
        <f>SUM(I52:I55)</f>
        <v>370916170.8281582</v>
      </c>
    </row>
    <row r="57" spans="1:9" x14ac:dyDescent="0.25">
      <c r="A57" s="1"/>
      <c r="D57" s="10"/>
    </row>
    <row r="58" spans="1:9" x14ac:dyDescent="0.25">
      <c r="A58" s="1">
        <f>A56+1</f>
        <v>30</v>
      </c>
      <c r="B58" t="s">
        <v>30</v>
      </c>
      <c r="C58" t="str">
        <f>'A6 (CWIP)'!X1&amp;", Ln. "&amp;'A6 (CWIP)'!A19&amp;", Cols. [s] and [v]"</f>
        <v>Worksheet A6, Ln. 2, Cols. [s] and [v]</v>
      </c>
      <c r="D58" s="10">
        <f>'A6 (CWIP)'!T19</f>
        <v>0</v>
      </c>
      <c r="F58" s="1"/>
      <c r="I58" s="10">
        <f>'A6 (CWIP)'!W19</f>
        <v>0</v>
      </c>
    </row>
    <row r="59" spans="1:9" x14ac:dyDescent="0.25">
      <c r="A59" s="1"/>
      <c r="D59" s="10"/>
    </row>
    <row r="60" spans="1:9" x14ac:dyDescent="0.25">
      <c r="A60" s="1"/>
      <c r="B60" s="12" t="s">
        <v>31</v>
      </c>
      <c r="D60" s="10"/>
    </row>
    <row r="61" spans="1:9" x14ac:dyDescent="0.25">
      <c r="A61" s="1">
        <f>A58+1</f>
        <v>31</v>
      </c>
      <c r="B61" s="7" t="s">
        <v>32</v>
      </c>
      <c r="C61" t="str">
        <f>'A7 (DIT Averages)'!R1&amp;", Ln. "&amp;'A7 (DIT Averages)'!A87</f>
        <v>Worksheet A7, Ln. 58</v>
      </c>
      <c r="D61" s="10"/>
      <c r="F61" s="1"/>
      <c r="I61" s="10">
        <f>'A7 (DIT Averages)'!R87</f>
        <v>-48494711.705363512</v>
      </c>
    </row>
    <row r="62" spans="1:9" x14ac:dyDescent="0.25">
      <c r="A62" s="1">
        <f>A61+1</f>
        <v>32</v>
      </c>
      <c r="B62" s="7" t="s">
        <v>33</v>
      </c>
      <c r="C62" t="str">
        <f>'A7 (DIT Averages)'!R1&amp;", Ln. "&amp;'A7 (DIT Averages)'!A139</f>
        <v>Worksheet A7, Ln. 97</v>
      </c>
      <c r="D62" s="10"/>
      <c r="F62" s="1"/>
      <c r="I62" s="10">
        <f>'A7 (DIT Averages)'!R139</f>
        <v>-25506229.732819695</v>
      </c>
    </row>
    <row r="63" spans="1:9" x14ac:dyDescent="0.25">
      <c r="A63" s="1">
        <f t="shared" ref="A63:A68" si="8">A62+1</f>
        <v>33</v>
      </c>
      <c r="B63" s="7" t="s">
        <v>34</v>
      </c>
      <c r="C63" t="str">
        <f>'A10 (Reg Assets Liabilities)'!$AE$1&amp;", Ln. "&amp;'A10 (Reg Assets Liabilities)'!A21&amp;", Cols. [aa] and [cc]"</f>
        <v>Worksheet A10, Ln. 3, Cols. [aa] and [cc]</v>
      </c>
      <c r="D63" s="10">
        <f>'A10 (Reg Assets Liabilities)'!AB21</f>
        <v>0</v>
      </c>
      <c r="F63" s="1"/>
      <c r="I63" s="10">
        <f>'A10 (Reg Assets Liabilities)'!AD21</f>
        <v>0</v>
      </c>
    </row>
    <row r="64" spans="1:9" x14ac:dyDescent="0.25">
      <c r="A64" s="1">
        <f t="shared" si="8"/>
        <v>34</v>
      </c>
      <c r="B64" s="7" t="s">
        <v>35</v>
      </c>
      <c r="C64" t="str">
        <f>'A10 (Reg Assets Liabilities)'!$AE$1&amp;", Ln. "&amp;'A10 (Reg Assets Liabilities)'!A23&amp;", Cols. [aa] and [cc]"</f>
        <v>Worksheet A10, Ln. 4, Cols. [aa] and [cc]</v>
      </c>
      <c r="D64" s="10">
        <f>'A10 (Reg Assets Liabilities)'!AB23</f>
        <v>0</v>
      </c>
      <c r="F64" s="1"/>
      <c r="I64" s="10">
        <f>'A10 (Reg Assets Liabilities)'!AD23</f>
        <v>0</v>
      </c>
    </row>
    <row r="65" spans="1:9" x14ac:dyDescent="0.25">
      <c r="A65" s="1">
        <f t="shared" si="8"/>
        <v>35</v>
      </c>
      <c r="B65" s="7" t="s">
        <v>36</v>
      </c>
      <c r="C65" t="str">
        <f>'A11 (Abandoned Plant)'!AD1&amp;", Ln. "&amp;'A11 (Abandoned Plant)'!A19&amp;", Cols. [z] and [bb]"</f>
        <v>Worksheet A11, Ln. 2, Cols. [z] and [bb]</v>
      </c>
      <c r="D65" s="10">
        <f>'A11 (Abandoned Plant)'!AA19</f>
        <v>0</v>
      </c>
      <c r="F65" s="1"/>
      <c r="I65" s="10">
        <f>'A11 (Abandoned Plant)'!AC19</f>
        <v>0</v>
      </c>
    </row>
    <row r="66" spans="1:9" x14ac:dyDescent="0.25">
      <c r="A66" s="1">
        <f t="shared" si="8"/>
        <v>36</v>
      </c>
      <c r="B66" s="7" t="s">
        <v>37</v>
      </c>
      <c r="C66" t="str">
        <f>"-1.0 x "&amp;'A12 (Unfunded Reserves)'!W1&amp;", Ln. "&amp;'A12 (Unfunded Reserves)'!A35&amp;", Cols. [r] and [u]"</f>
        <v>-1.0 x Worksheet A12, Ln. 2, Cols. [r] and [u]</v>
      </c>
      <c r="D66" s="10">
        <f>-'A12 (Unfunded Reserves)'!S35</f>
        <v>0</v>
      </c>
      <c r="F66" s="1"/>
      <c r="I66" s="10">
        <f>-'A12 (Unfunded Reserves)'!V35</f>
        <v>0</v>
      </c>
    </row>
    <row r="67" spans="1:9" x14ac:dyDescent="0.25">
      <c r="A67" s="1">
        <f t="shared" si="8"/>
        <v>37</v>
      </c>
      <c r="B67" s="7" t="s">
        <v>618</v>
      </c>
      <c r="C67" t="str">
        <f>'A13 (Hold Harmless Adjustment)'!X1&amp;", Ln. "&amp;'A13 (Hold Harmless Adjustment)'!A19&amp;", Cols. [u] and [v]"</f>
        <v>Worksheet A13, Ln. 2, Cols. [u] and [v]</v>
      </c>
      <c r="D67" s="10">
        <f>'A13 (Hold Harmless Adjustment)'!V19</f>
        <v>0</v>
      </c>
      <c r="F67" s="1"/>
      <c r="I67" s="10">
        <f>'A13 (Hold Harmless Adjustment)'!W19</f>
        <v>0</v>
      </c>
    </row>
    <row r="68" spans="1:9" x14ac:dyDescent="0.25">
      <c r="A68" s="1">
        <f t="shared" si="8"/>
        <v>38</v>
      </c>
      <c r="B68" t="str">
        <f>"Total "&amp;B60</f>
        <v>Total Rate Base Adjustments</v>
      </c>
      <c r="C68" t="str">
        <f>"Sum Lns. ("&amp;A61&amp;" through "&amp;A67&amp;")"</f>
        <v>Sum Lns. (31 through 37)</v>
      </c>
      <c r="D68" s="11">
        <f>SUM(D61:D67)</f>
        <v>0</v>
      </c>
      <c r="I68" s="11">
        <f>SUM(I61:I67)</f>
        <v>-74000941.438183203</v>
      </c>
    </row>
    <row r="69" spans="1:9" x14ac:dyDescent="0.25">
      <c r="A69" s="1"/>
      <c r="D69" s="10"/>
    </row>
    <row r="70" spans="1:9" x14ac:dyDescent="0.25">
      <c r="A70" s="1">
        <f>A68+1</f>
        <v>39</v>
      </c>
      <c r="B70" t="s">
        <v>426</v>
      </c>
      <c r="C70" t="str">
        <f>'A14 (Land Held for Future Use)'!V1&amp;", Ln. "&amp;'A14 (Land Held for Future Use)'!A19&amp;", Cols. [q] and [t]"</f>
        <v>Worksheet A14, Ln. 2, Cols. [q] and [t]</v>
      </c>
      <c r="D70" s="10">
        <f>'A14 (Land Held for Future Use)'!R19</f>
        <v>0</v>
      </c>
      <c r="F70" s="1"/>
      <c r="I70" s="10">
        <f>'A14 (Land Held for Future Use)'!U19</f>
        <v>0</v>
      </c>
    </row>
    <row r="71" spans="1:9" x14ac:dyDescent="0.25">
      <c r="A71" s="1"/>
      <c r="D71" s="10"/>
    </row>
    <row r="72" spans="1:9" x14ac:dyDescent="0.25">
      <c r="A72" s="1"/>
      <c r="B72" s="12" t="s">
        <v>38</v>
      </c>
      <c r="D72" s="10"/>
    </row>
    <row r="73" spans="1:9" ht="18.75" x14ac:dyDescent="0.25">
      <c r="A73" s="1">
        <f>A70+1</f>
        <v>40</v>
      </c>
      <c r="B73" s="7" t="s">
        <v>865</v>
      </c>
      <c r="C73" t="str">
        <f>"Ln. "&amp;A100&amp;" x 1/8"</f>
        <v>Ln. 58 x 1/8</v>
      </c>
      <c r="D73" s="10">
        <f>D100/8</f>
        <v>15294225.93125</v>
      </c>
      <c r="I73" s="10">
        <f>I100/8</f>
        <v>4143199.2493285835</v>
      </c>
    </row>
    <row r="74" spans="1:9" x14ac:dyDescent="0.25">
      <c r="A74" s="1">
        <f>A73+1</f>
        <v>41</v>
      </c>
      <c r="B74" s="7" t="s">
        <v>377</v>
      </c>
      <c r="C74" t="str">
        <f>'A15 (Working Capital)'!$F$1&amp;", Ln. "&amp;'A15 (Working Capital)'!$A$26</f>
        <v>Worksheet A15, Ln. 15</v>
      </c>
      <c r="D74" s="10">
        <f>'A15 (Working Capital)'!C26</f>
        <v>2954076.1137580369</v>
      </c>
      <c r="F74" s="1" t="s">
        <v>16</v>
      </c>
      <c r="G74" s="27">
        <f>VLOOKUP(F74,'A22 (Allocation Factors)'!$D:$F,3,0)</f>
        <v>0.99107572717159387</v>
      </c>
      <c r="I74" s="10">
        <f t="shared" ref="I74:I76" si="9">D74*G74</f>
        <v>2927713.1325629824</v>
      </c>
    </row>
    <row r="75" spans="1:9" x14ac:dyDescent="0.25">
      <c r="A75" s="1">
        <f t="shared" ref="A75" si="10">A74+1</f>
        <v>42</v>
      </c>
      <c r="B75" s="7" t="s">
        <v>378</v>
      </c>
      <c r="C75" t="str">
        <f>'A15 (Working Capital)'!$F$1&amp;", Ln. "&amp;'A15 (Working Capital)'!$A$26</f>
        <v>Worksheet A15, Ln. 15</v>
      </c>
      <c r="D75" s="10">
        <f>'A15 (Working Capital)'!D26</f>
        <v>733.9307692307691</v>
      </c>
      <c r="F75" s="1" t="s">
        <v>288</v>
      </c>
      <c r="G75" s="27">
        <f>VLOOKUP(F75,'A22 (Allocation Factors)'!$D:$F,3,0)</f>
        <v>0.20882221657345243</v>
      </c>
      <c r="I75" s="10">
        <f t="shared" si="9"/>
        <v>153.26105004222819</v>
      </c>
    </row>
    <row r="76" spans="1:9" x14ac:dyDescent="0.25">
      <c r="A76" s="1">
        <f>A75+1</f>
        <v>43</v>
      </c>
      <c r="B76" s="7" t="s">
        <v>39</v>
      </c>
      <c r="C76" t="str">
        <f>'A15 (Working Capital)'!$F$1&amp;", Ln. "&amp;'A15 (Working Capital)'!$A$26</f>
        <v>Worksheet A15, Ln. 15</v>
      </c>
      <c r="D76" s="10">
        <f>'A15 (Working Capital)'!F26</f>
        <v>18668835.59538462</v>
      </c>
      <c r="F76" s="1" t="s">
        <v>42</v>
      </c>
      <c r="G76" s="27">
        <f>VLOOKUP(F76,'A22 (Allocation Factors)'!$D:$F,3,0)</f>
        <v>0.1181386997312547</v>
      </c>
      <c r="I76" s="10">
        <f t="shared" si="9"/>
        <v>2205511.9627353032</v>
      </c>
    </row>
    <row r="77" spans="1:9" x14ac:dyDescent="0.25">
      <c r="A77" s="1">
        <f t="shared" ref="A77" si="11">A76+1</f>
        <v>44</v>
      </c>
      <c r="B77" t="str">
        <f>"Total "&amp;B72</f>
        <v>Total Working Capital</v>
      </c>
      <c r="C77" t="str">
        <f>"Sum Lns. ("&amp;A73&amp;" through "&amp;A76&amp;")"</f>
        <v>Sum Lns. (40 through 43)</v>
      </c>
      <c r="D77" s="11">
        <f>SUM(D73:D76)</f>
        <v>36917871.571161889</v>
      </c>
      <c r="I77" s="11">
        <f>SUM(I73:I76)</f>
        <v>9276577.6056769099</v>
      </c>
    </row>
    <row r="78" spans="1:9" x14ac:dyDescent="0.25">
      <c r="A78" s="1"/>
      <c r="D78" s="10"/>
    </row>
    <row r="79" spans="1:9" ht="16.5" thickBot="1" x14ac:dyDescent="0.3">
      <c r="A79" s="1">
        <f>A77+1</f>
        <v>45</v>
      </c>
      <c r="B79" s="15" t="s">
        <v>40</v>
      </c>
      <c r="C79" t="str">
        <f>"Lns. ("&amp;A56&amp;" + "&amp;A58&amp;" + "&amp;A68&amp;" + "&amp;A70&amp;" + "&amp;A77&amp;")"</f>
        <v>Lns. (29 + 30 + 38 + 39 + 44)</v>
      </c>
      <c r="D79" s="13">
        <f>D56+D58+D68+D70+D77</f>
        <v>3094151533.4933157</v>
      </c>
      <c r="I79" s="13">
        <f>I56+I58+I68+I70+I77</f>
        <v>306191806.9956519</v>
      </c>
    </row>
    <row r="80" spans="1:9" ht="16.5" thickTop="1" x14ac:dyDescent="0.25">
      <c r="A80" s="1"/>
      <c r="D80" s="10"/>
    </row>
    <row r="81" spans="1:9" x14ac:dyDescent="0.25">
      <c r="A81" s="1"/>
      <c r="B81" s="6" t="s">
        <v>44</v>
      </c>
      <c r="D81" s="10"/>
    </row>
    <row r="82" spans="1:9" x14ac:dyDescent="0.25">
      <c r="A82" s="1"/>
      <c r="D82" s="10"/>
    </row>
    <row r="83" spans="1:9" x14ac:dyDescent="0.25">
      <c r="A83" s="1"/>
      <c r="B83" s="12" t="s">
        <v>49</v>
      </c>
      <c r="D83" s="10"/>
    </row>
    <row r="84" spans="1:9" x14ac:dyDescent="0.25">
      <c r="A84" s="1">
        <f>A79+1</f>
        <v>46</v>
      </c>
      <c r="B84" s="7" t="s">
        <v>46</v>
      </c>
      <c r="C84" t="str">
        <f>'A1 (FF1 Inputs)'!$E$1&amp;", Ln. "&amp;'A1 (FF1 Inputs)'!A86</f>
        <v>Worksheet A1, Ln. 57</v>
      </c>
      <c r="D84" s="10">
        <f>'A1 (FF1 Inputs)'!E86</f>
        <v>23716836</v>
      </c>
      <c r="F84" s="1" t="s">
        <v>16</v>
      </c>
      <c r="G84" s="27">
        <f>VLOOKUP(F84,'A22 (Allocation Factors)'!$D:$F,3,0)</f>
        <v>0.99107572717159387</v>
      </c>
      <c r="I84" s="10">
        <f t="shared" ref="I84:I86" si="12">D84*G84</f>
        <v>23505180.484909434</v>
      </c>
    </row>
    <row r="85" spans="1:9" x14ac:dyDescent="0.25">
      <c r="A85" s="1">
        <f>A84+1</f>
        <v>47</v>
      </c>
      <c r="B85" s="18" t="s">
        <v>47</v>
      </c>
      <c r="C85" t="str">
        <f>'A1 (FF1 Inputs)'!$E$1&amp;", Sum Lns. ("&amp;'A1 (FF1 Inputs)'!A77&amp;" through "&amp;'A1 (FF1 Inputs)'!A84&amp;")"</f>
        <v>Worksheet A1, Sum Lns. (48 through 55)</v>
      </c>
      <c r="D85" s="10">
        <f>SUM('A1 (FF1 Inputs)'!E77:E84)</f>
        <v>3483962</v>
      </c>
      <c r="F85" s="1" t="s">
        <v>16</v>
      </c>
      <c r="G85" s="27">
        <f>VLOOKUP(F85,'A22 (Allocation Factors)'!$D:$F,3,0)</f>
        <v>0.99107572717159387</v>
      </c>
      <c r="I85" s="10">
        <f t="shared" si="12"/>
        <v>3452870.1725882003</v>
      </c>
    </row>
    <row r="86" spans="1:9" x14ac:dyDescent="0.25">
      <c r="A86" s="1">
        <f t="shared" ref="A86:A87" si="13">A85+1</f>
        <v>48</v>
      </c>
      <c r="B86" s="18" t="s">
        <v>48</v>
      </c>
      <c r="C86" t="str">
        <f>'A1 (FF1 Inputs)'!$E$1&amp;", Ln. "&amp;'A1 (FF1 Inputs)'!A85</f>
        <v>Worksheet A1, Ln. 56</v>
      </c>
      <c r="D86" s="10">
        <f>'A1 (FF1 Inputs)'!E85</f>
        <v>6728666</v>
      </c>
      <c r="F86" s="1" t="s">
        <v>16</v>
      </c>
      <c r="G86" s="27">
        <f>VLOOKUP(F86,'A22 (Allocation Factors)'!$D:$F,3,0)</f>
        <v>0.99107572717159387</v>
      </c>
      <c r="I86" s="10">
        <f t="shared" si="12"/>
        <v>6668617.5488447798</v>
      </c>
    </row>
    <row r="87" spans="1:9" x14ac:dyDescent="0.25">
      <c r="A87" s="1">
        <f t="shared" si="13"/>
        <v>49</v>
      </c>
      <c r="B87" t="str">
        <f>"Total "&amp;B83</f>
        <v>Total Adjusted Transmission O&amp;M</v>
      </c>
      <c r="C87" t="str">
        <f>"Lns. ("&amp;A84&amp;" - "&amp;A85&amp;" - "&amp;A86&amp;")"</f>
        <v>Lns. (46 - 47 - 48)</v>
      </c>
      <c r="D87" s="11">
        <f>D84-D85-D86</f>
        <v>13504208</v>
      </c>
      <c r="I87" s="11">
        <f>I84-I85-I86</f>
        <v>13383692.763476454</v>
      </c>
    </row>
    <row r="88" spans="1:9" x14ac:dyDescent="0.25">
      <c r="A88" s="1"/>
      <c r="D88" s="10"/>
    </row>
    <row r="89" spans="1:9" x14ac:dyDescent="0.25">
      <c r="A89" s="1"/>
      <c r="B89" s="17" t="s">
        <v>50</v>
      </c>
      <c r="D89" s="10"/>
    </row>
    <row r="90" spans="1:9" x14ac:dyDescent="0.25">
      <c r="A90" s="1">
        <f>A87+1</f>
        <v>50</v>
      </c>
      <c r="B90" s="7" t="s">
        <v>655</v>
      </c>
      <c r="C90" t="str">
        <f>'A1 (FF1 Inputs)'!$E$1&amp;", Lns. ("&amp;'A1 (FF1 Inputs)'!A90&amp;" - "&amp;'A1 (FF1 Inputs)'!A87&amp;" - "&amp;'A1 (FF1 Inputs)'!A88&amp;")"</f>
        <v>Worksheet A1, Lns. (61 - 58 - 59)</v>
      </c>
      <c r="D90" s="10">
        <f>'A1 (FF1 Inputs)'!E90-'A1 (FF1 Inputs)'!E87-'A1 (FF1 Inputs)'!E88</f>
        <v>90369583</v>
      </c>
      <c r="F90" s="1" t="s">
        <v>288</v>
      </c>
      <c r="G90" s="27">
        <f>VLOOKUP(F90,'A22 (Allocation Factors)'!$D:$F,3,0)</f>
        <v>0.20882221657345243</v>
      </c>
      <c r="I90" s="10">
        <f>D90*G90</f>
        <v>18871176.632878587</v>
      </c>
    </row>
    <row r="91" spans="1:9" x14ac:dyDescent="0.25">
      <c r="A91" s="1">
        <f>A90+1</f>
        <v>51</v>
      </c>
      <c r="B91" s="7" t="s">
        <v>51</v>
      </c>
      <c r="C91" t="str">
        <f>'A16 (Operating Expenses)'!$I$1&amp;", Ln. "&amp;'A16 (Operating Expenses)'!A17</f>
        <v>Worksheet A16, Ln. 5</v>
      </c>
      <c r="D91" s="10">
        <f>'A16 (Operating Expenses)'!D17</f>
        <v>1467519.55</v>
      </c>
      <c r="F91" s="1" t="s">
        <v>288</v>
      </c>
      <c r="G91" s="27">
        <f>VLOOKUP(F91,'A22 (Allocation Factors)'!$D:$F,3,0)</f>
        <v>0.20882221657345243</v>
      </c>
      <c r="I91" s="10">
        <f t="shared" ref="I91:I95" si="14">D91*G91</f>
        <v>306450.68529587548</v>
      </c>
    </row>
    <row r="92" spans="1:9" x14ac:dyDescent="0.25">
      <c r="A92" s="1">
        <f t="shared" ref="A92:A96" si="15">A91+1</f>
        <v>52</v>
      </c>
      <c r="B92" s="7" t="s">
        <v>52</v>
      </c>
      <c r="C92" t="str">
        <f>'A1 (FF1 Inputs)'!E1&amp;", Ln. "&amp;'A1 (FF1 Inputs)'!A87</f>
        <v>Worksheet A1, Ln. 58</v>
      </c>
      <c r="D92" s="10">
        <f>'A1 (FF1 Inputs)'!E87</f>
        <v>4852276</v>
      </c>
      <c r="F92" s="1" t="s">
        <v>42</v>
      </c>
      <c r="G92" s="27">
        <f>VLOOKUP(F92,'A22 (Allocation Factors)'!$D:$F,3,0)</f>
        <v>0.1181386997312547</v>
      </c>
      <c r="I92" s="10">
        <f t="shared" si="14"/>
        <v>573241.57737717358</v>
      </c>
    </row>
    <row r="93" spans="1:9" x14ac:dyDescent="0.25">
      <c r="A93" s="1">
        <f t="shared" si="15"/>
        <v>53</v>
      </c>
      <c r="B93" s="7" t="s">
        <v>349</v>
      </c>
      <c r="C93" t="str">
        <f>'A16 (Operating Expenses)'!$I$1&amp;", Lns. "&amp;'A16 (Operating Expenses)'!A22&amp;" and "&amp;'A16 (Operating Expenses)'!A30</f>
        <v>Worksheet A16, Lns. 7 and 9</v>
      </c>
      <c r="D93" s="10">
        <f>'A16 (Operating Expenses)'!D22</f>
        <v>15095260</v>
      </c>
      <c r="F93" s="1"/>
      <c r="G93" s="27"/>
      <c r="I93" s="10">
        <f>'A16 (Operating Expenses)'!I30</f>
        <v>623933.70619233127</v>
      </c>
    </row>
    <row r="94" spans="1:9" x14ac:dyDescent="0.25">
      <c r="A94" s="1">
        <f t="shared" si="15"/>
        <v>54</v>
      </c>
      <c r="B94" s="7" t="s">
        <v>651</v>
      </c>
      <c r="C94" t="str">
        <f>'A16 (Operating Expenses)'!I1&amp;", Ln. "&amp;'A16 (Operating Expenses)'!A19</f>
        <v>Worksheet A16, Ln. 6</v>
      </c>
      <c r="D94" s="10">
        <f>'A16 (Operating Expenses)'!D19</f>
        <v>-3848723</v>
      </c>
      <c r="F94" s="1" t="s">
        <v>288</v>
      </c>
      <c r="G94" s="27">
        <f>VLOOKUP(F94,'A22 (Allocation Factors)'!$D:$F,3,0)</f>
        <v>0.20882221657345243</v>
      </c>
      <c r="I94" s="10">
        <f t="shared" si="14"/>
        <v>-803698.86783722753</v>
      </c>
    </row>
    <row r="95" spans="1:9" ht="18.75" x14ac:dyDescent="0.25">
      <c r="A95" s="1">
        <f t="shared" si="15"/>
        <v>55</v>
      </c>
      <c r="B95" s="7" t="s">
        <v>652</v>
      </c>
      <c r="C95" t="s">
        <v>866</v>
      </c>
      <c r="D95" s="10">
        <v>-3848723</v>
      </c>
      <c r="F95" s="1" t="s">
        <v>288</v>
      </c>
      <c r="G95" s="27">
        <f>VLOOKUP(F95,'A22 (Allocation Factors)'!$D:$F,3,0)</f>
        <v>0.20882221657345243</v>
      </c>
      <c r="I95" s="10">
        <f t="shared" si="14"/>
        <v>-803698.86783722753</v>
      </c>
    </row>
    <row r="96" spans="1:9" x14ac:dyDescent="0.25">
      <c r="A96" s="1">
        <f t="shared" si="15"/>
        <v>56</v>
      </c>
      <c r="B96" t="str">
        <f>"Total "&amp;B89</f>
        <v>Total Adjusted A&amp;G</v>
      </c>
      <c r="C96" t="str">
        <f>"Lns. ("&amp;A90&amp;" - "&amp;A91&amp;" + "&amp;A92&amp;" + "&amp;A93&amp;" - "&amp;A94&amp;" + "&amp;A95&amp;")"</f>
        <v>Lns. (50 - 51 + 52 + 53 - 54 + 55)</v>
      </c>
      <c r="D96" s="11">
        <f>D90-D91+D92+D93-D94+D95</f>
        <v>108849599.45</v>
      </c>
      <c r="I96" s="11">
        <f>I90-I91+I92+I93-I94+I95</f>
        <v>19761901.231152214</v>
      </c>
    </row>
    <row r="97" spans="1:9" x14ac:dyDescent="0.25">
      <c r="A97" s="1"/>
      <c r="D97" s="10"/>
    </row>
    <row r="98" spans="1:9" x14ac:dyDescent="0.25">
      <c r="A98" s="1">
        <f>A96+1</f>
        <v>57</v>
      </c>
      <c r="B98" t="s">
        <v>765</v>
      </c>
      <c r="C98" t="str">
        <f>'A13 (Hold Harmless Adjustment)'!$X$1&amp;", Ln. "&amp;'A13 (Hold Harmless Adjustment)'!A19&amp;", Cols. [d] and [g]"</f>
        <v>Worksheet A13, Ln. 2, Cols. [d] and [g]</v>
      </c>
      <c r="D98" s="10">
        <f>'A13 (Hold Harmless Adjustment)'!E19</f>
        <v>0</v>
      </c>
      <c r="F98" s="1"/>
      <c r="I98" s="10">
        <f>'A13 (Hold Harmless Adjustment)'!H19</f>
        <v>0</v>
      </c>
    </row>
    <row r="99" spans="1:9" x14ac:dyDescent="0.25">
      <c r="A99" s="1"/>
      <c r="D99" s="10"/>
    </row>
    <row r="100" spans="1:9" x14ac:dyDescent="0.25">
      <c r="A100" s="1">
        <f>A98+1</f>
        <v>58</v>
      </c>
      <c r="B100" t="s">
        <v>53</v>
      </c>
      <c r="C100" t="str">
        <f>"Lns. ("&amp;A87&amp;" + "&amp;A96&amp;" + "&amp;A98&amp;")"</f>
        <v>Lns. (49 + 56 + 57)</v>
      </c>
      <c r="D100" s="19">
        <f>D87+D96+D98</f>
        <v>122353807.45</v>
      </c>
      <c r="I100" s="19">
        <f>I87+I96+I98</f>
        <v>33145593.994628668</v>
      </c>
    </row>
    <row r="101" spans="1:9" x14ac:dyDescent="0.25">
      <c r="A101" s="1"/>
      <c r="D101" s="231"/>
    </row>
    <row r="102" spans="1:9" ht="18.75" x14ac:dyDescent="0.25">
      <c r="A102" s="1"/>
      <c r="B102" s="17" t="s">
        <v>860</v>
      </c>
      <c r="D102" s="231"/>
    </row>
    <row r="103" spans="1:9" x14ac:dyDescent="0.25">
      <c r="A103" s="1">
        <f>A100+1</f>
        <v>59</v>
      </c>
      <c r="B103" s="7" t="s">
        <v>54</v>
      </c>
      <c r="C103" t="str">
        <f>'A1 (FF1 Inputs)'!$E$1&amp;", Lns. ("&amp;'A1 (FF1 Inputs)'!A96&amp;" - "&amp;'A1 (FF1 Inputs)'!A97&amp;")"</f>
        <v>Worksheet A1, Lns. (65 - 66)</v>
      </c>
      <c r="D103" s="231">
        <f>'A1 (FF1 Inputs)'!G96-'A1 (FF1 Inputs)'!G97</f>
        <v>7714721</v>
      </c>
      <c r="F103" s="1" t="s">
        <v>16</v>
      </c>
      <c r="G103" s="27">
        <f>VLOOKUP(F103,'A22 (Allocation Factors)'!$D:$F,3,0)</f>
        <v>0.99107572717159387</v>
      </c>
      <c r="I103" s="10">
        <f t="shared" ref="I103:I104" si="16">D103*G103</f>
        <v>7645872.7250009654</v>
      </c>
    </row>
    <row r="104" spans="1:9" x14ac:dyDescent="0.25">
      <c r="A104" s="1">
        <f>A103+1</f>
        <v>60</v>
      </c>
      <c r="B104" s="7" t="s">
        <v>55</v>
      </c>
      <c r="C104" t="str">
        <f>'A1 (FF1 Inputs)'!$E$1&amp;", Lns. ("&amp;'A1 (FF1 Inputs)'!A94&amp;" - "&amp;'A1 (FF1 Inputs)'!A95&amp;" + "&amp;'A1 (FF1 Inputs)'!A98&amp;" - "&amp;'A1 (FF1 Inputs)'!A99&amp;")"</f>
        <v>Worksheet A1, Lns. (63 - 64 + 67 - 68)</v>
      </c>
      <c r="D104" s="231">
        <f>'A1 (FF1 Inputs)'!G94-'A1 (FF1 Inputs)'!G95+'A1 (FF1 Inputs)'!G98-'A1 (FF1 Inputs)'!G99</f>
        <v>21126541</v>
      </c>
      <c r="F104" s="1" t="s">
        <v>288</v>
      </c>
      <c r="G104" s="27">
        <f>VLOOKUP(F104,'A22 (Allocation Factors)'!$D:$F,3,0)</f>
        <v>0.20882221657345243</v>
      </c>
      <c r="I104" s="10">
        <f t="shared" si="16"/>
        <v>4411691.1201499226</v>
      </c>
    </row>
    <row r="105" spans="1:9" x14ac:dyDescent="0.25">
      <c r="A105" s="1">
        <f t="shared" ref="A105:A106" si="17">A104+1</f>
        <v>61</v>
      </c>
      <c r="B105" s="7" t="s">
        <v>56</v>
      </c>
      <c r="C105" t="str">
        <f>'A11 (Abandoned Plant)'!AD1&amp;", Ln. "&amp;'A11 (Abandoned Plant)'!A19&amp;", Cols. [h] and [l]"</f>
        <v>Worksheet A11, Ln. 2, Cols. [h] and [l]</v>
      </c>
      <c r="D105" s="231">
        <f>'A11 (Abandoned Plant)'!I19</f>
        <v>0</v>
      </c>
      <c r="F105" s="1"/>
      <c r="I105" s="10">
        <f>'A11 (Abandoned Plant)'!M19</f>
        <v>0</v>
      </c>
    </row>
    <row r="106" spans="1:9" x14ac:dyDescent="0.25">
      <c r="A106" s="1">
        <f t="shared" si="17"/>
        <v>62</v>
      </c>
      <c r="B106" s="7" t="s">
        <v>425</v>
      </c>
      <c r="C106" t="str">
        <f>'A10 (Reg Assets Liabilities)'!$AE$1&amp;", Ln. "&amp;'A10 (Reg Assets Liabilities)'!A21&amp;", Cols. [i] and [m]"</f>
        <v>Worksheet A10, Ln. 3, Cols. [i] and [m]</v>
      </c>
      <c r="D106" s="10">
        <f>'A10 (Reg Assets Liabilities)'!J21</f>
        <v>0</v>
      </c>
      <c r="F106" s="1"/>
      <c r="I106" s="10">
        <f>'A10 (Reg Assets Liabilities)'!N21</f>
        <v>0</v>
      </c>
    </row>
    <row r="107" spans="1:9" x14ac:dyDescent="0.25">
      <c r="A107" s="1">
        <f t="shared" ref="A107:A108" si="18">A106+1</f>
        <v>63</v>
      </c>
      <c r="B107" s="7" t="s">
        <v>424</v>
      </c>
      <c r="C107" t="str">
        <f>'A10 (Reg Assets Liabilities)'!$AE$1&amp;", Ln. "&amp;'A10 (Reg Assets Liabilities)'!A23&amp;", Cols. [i] and [m]"</f>
        <v>Worksheet A10, Ln. 4, Cols. [i] and [m]</v>
      </c>
      <c r="D107" s="10">
        <f>'A10 (Reg Assets Liabilities)'!J23</f>
        <v>0</v>
      </c>
      <c r="F107" s="1"/>
      <c r="I107" s="10">
        <f>'A10 (Reg Assets Liabilities)'!N23</f>
        <v>0</v>
      </c>
    </row>
    <row r="108" spans="1:9" x14ac:dyDescent="0.25">
      <c r="A108" s="1">
        <f t="shared" si="18"/>
        <v>64</v>
      </c>
      <c r="B108" t="s">
        <v>861</v>
      </c>
      <c r="C108" t="str">
        <f>"Sum Lns. ("&amp;A103&amp;" through "&amp;A107&amp;")"</f>
        <v>Sum Lns. (59 through 63)</v>
      </c>
      <c r="D108" s="11">
        <f>SUM(D103:D107)</f>
        <v>28841262</v>
      </c>
      <c r="I108" s="11">
        <f>SUM(I103:I107)</f>
        <v>12057563.845150888</v>
      </c>
    </row>
    <row r="109" spans="1:9" x14ac:dyDescent="0.25">
      <c r="A109" s="1"/>
      <c r="D109" s="10"/>
    </row>
    <row r="110" spans="1:9" x14ac:dyDescent="0.25">
      <c r="A110" s="1"/>
      <c r="B110" s="17" t="s">
        <v>57</v>
      </c>
      <c r="D110" s="10"/>
    </row>
    <row r="111" spans="1:9" x14ac:dyDescent="0.25">
      <c r="A111" s="1">
        <f>A108+1</f>
        <v>65</v>
      </c>
      <c r="B111" s="7" t="s">
        <v>58</v>
      </c>
      <c r="C111" t="str">
        <f>'A17 (Taxes Other)'!$E$1&amp;", Ln. "&amp;'A17 (Taxes Other)'!A19</f>
        <v>Worksheet A17, Ln. 2</v>
      </c>
      <c r="D111" s="10">
        <f>'A17 (Taxes Other)'!E19</f>
        <v>9285435</v>
      </c>
      <c r="F111" s="1" t="s">
        <v>288</v>
      </c>
      <c r="G111" s="27">
        <f>VLOOKUP(F111,'A22 (Allocation Factors)'!$D:$F,3,0)</f>
        <v>0.20882221657345243</v>
      </c>
      <c r="I111" s="10">
        <f t="shared" ref="I111:I115" si="19">D111*G111</f>
        <v>1939005.1185487153</v>
      </c>
    </row>
    <row r="112" spans="1:9" x14ac:dyDescent="0.25">
      <c r="A112" s="1">
        <f>A111+1</f>
        <v>66</v>
      </c>
      <c r="B112" s="7" t="s">
        <v>59</v>
      </c>
      <c r="C112" t="str">
        <f>'A17 (Taxes Other)'!$E$1&amp;", Ln. "&amp;'A17 (Taxes Other)'!A25</f>
        <v>Worksheet A17, Ln. 4</v>
      </c>
      <c r="D112" s="10">
        <f>'A17 (Taxes Other)'!E25</f>
        <v>0</v>
      </c>
      <c r="F112" s="1" t="s">
        <v>288</v>
      </c>
      <c r="G112" s="27">
        <f>VLOOKUP(F112,'A22 (Allocation Factors)'!$D:$F,3,0)</f>
        <v>0.20882221657345243</v>
      </c>
      <c r="I112" s="10">
        <f t="shared" si="19"/>
        <v>0</v>
      </c>
    </row>
    <row r="113" spans="1:9" x14ac:dyDescent="0.25">
      <c r="A113" s="1">
        <f t="shared" ref="A113:A116" si="20">A112+1</f>
        <v>67</v>
      </c>
      <c r="B113" s="7" t="s">
        <v>60</v>
      </c>
      <c r="C113" t="str">
        <f>'A17 (Taxes Other)'!$E$1&amp;", Ln. "&amp;'A17 (Taxes Other)'!A33</f>
        <v>Worksheet A17, Ln. 6</v>
      </c>
      <c r="D113" s="10">
        <f>'A17 (Taxes Other)'!E33</f>
        <v>28273987</v>
      </c>
      <c r="F113" s="1" t="s">
        <v>333</v>
      </c>
      <c r="G113" s="27">
        <f>VLOOKUP(F113,'A22 (Allocation Factors)'!$D:$F,3,0)</f>
        <v>0.12132411580047649</v>
      </c>
      <c r="I113" s="10">
        <f t="shared" si="19"/>
        <v>3430316.4729291666</v>
      </c>
    </row>
    <row r="114" spans="1:9" x14ac:dyDescent="0.25">
      <c r="A114" s="1">
        <f t="shared" si="20"/>
        <v>68</v>
      </c>
      <c r="B114" s="7" t="s">
        <v>61</v>
      </c>
      <c r="C114" t="str">
        <f>'A17 (Taxes Other)'!$E$1&amp;", Ln. "&amp;'A17 (Taxes Other)'!A39</f>
        <v>Worksheet A17, Ln. 8</v>
      </c>
      <c r="D114" s="10">
        <f>'A17 (Taxes Other)'!E39</f>
        <v>10007659</v>
      </c>
      <c r="F114" s="1" t="s">
        <v>29</v>
      </c>
      <c r="G114" s="27">
        <f>VLOOKUP(F114,'A22 (Allocation Factors)'!$D:$F,3,0)</f>
        <v>0</v>
      </c>
      <c r="I114" s="10">
        <f t="shared" si="19"/>
        <v>0</v>
      </c>
    </row>
    <row r="115" spans="1:9" x14ac:dyDescent="0.25">
      <c r="A115" s="1">
        <f t="shared" si="20"/>
        <v>69</v>
      </c>
      <c r="B115" s="7" t="s">
        <v>62</v>
      </c>
      <c r="C115" t="str">
        <f>'A17 (Taxes Other)'!$E$1&amp;", Ln. "&amp;'A17 (Taxes Other)'!A47</f>
        <v>Worksheet A17, Ln. 10</v>
      </c>
      <c r="D115" s="10">
        <f>'A17 (Taxes Other)'!E47</f>
        <v>118920</v>
      </c>
      <c r="F115" s="1" t="s">
        <v>42</v>
      </c>
      <c r="G115" s="27">
        <f>VLOOKUP(F115,'A22 (Allocation Factors)'!$D:$F,3,0)</f>
        <v>0.1181386997312547</v>
      </c>
      <c r="I115" s="10">
        <f t="shared" si="19"/>
        <v>14049.054172040809</v>
      </c>
    </row>
    <row r="116" spans="1:9" x14ac:dyDescent="0.25">
      <c r="A116" s="1">
        <f t="shared" si="20"/>
        <v>70</v>
      </c>
      <c r="B116" t="str">
        <f>"Total "&amp;B110</f>
        <v>Total Taxes Other than Income Taxes</v>
      </c>
      <c r="C116" t="str">
        <f>"Sum Lns. ("&amp;A111&amp;" through "&amp;A115&amp;")"</f>
        <v>Sum Lns. (65 through 69)</v>
      </c>
      <c r="D116" s="11">
        <f>SUM(D111:D115)</f>
        <v>47686001</v>
      </c>
      <c r="I116" s="11">
        <f>SUM(I111:I115)</f>
        <v>5383370.645649923</v>
      </c>
    </row>
    <row r="117" spans="1:9" x14ac:dyDescent="0.25">
      <c r="A117" s="1"/>
      <c r="D117" s="10"/>
    </row>
    <row r="118" spans="1:9" x14ac:dyDescent="0.25">
      <c r="A118" s="1"/>
      <c r="B118" s="63" t="s">
        <v>573</v>
      </c>
      <c r="D118" s="10"/>
    </row>
    <row r="119" spans="1:9" x14ac:dyDescent="0.25">
      <c r="A119" s="1">
        <f>A116+1</f>
        <v>71</v>
      </c>
      <c r="B119" s="15" t="s">
        <v>574</v>
      </c>
      <c r="C119" t="str">
        <f>'A18 (Cost of Capital)'!$I$1&amp;", Ln. "&amp;'A18 (Cost of Capital)'!$A$30&amp;", Col, [g]"</f>
        <v>Worksheet A18, Ln. 18, Col, [g]</v>
      </c>
      <c r="D119" s="62">
        <f>'A18 (Cost of Capital)'!$H$30</f>
        <v>2.8445718333811813E-2</v>
      </c>
      <c r="I119" s="62">
        <f>'A18 (Cost of Capital)'!$H$30</f>
        <v>2.8445718333811813E-2</v>
      </c>
    </row>
    <row r="120" spans="1:9" x14ac:dyDescent="0.25">
      <c r="A120" s="1">
        <f>A119+1</f>
        <v>72</v>
      </c>
      <c r="B120" t="s">
        <v>575</v>
      </c>
      <c r="C120" t="str">
        <f>'A18 (Cost of Capital)'!$I$1&amp;", Ln. "&amp;'A18 (Cost of Capital)'!$A$30&amp;", Col, [f]"</f>
        <v>Worksheet A18, Ln. 18, Col, [f]</v>
      </c>
      <c r="D120" s="62">
        <f>'A18 (Cost of Capital)'!$G$30</f>
        <v>5.1857704284227396E-2</v>
      </c>
      <c r="I120" s="62">
        <f>'A18 (Cost of Capital)'!$G$30</f>
        <v>5.1857704284227396E-2</v>
      </c>
    </row>
    <row r="121" spans="1:9" x14ac:dyDescent="0.25">
      <c r="A121" s="1">
        <f>A120+1</f>
        <v>73</v>
      </c>
      <c r="B121" t="s">
        <v>572</v>
      </c>
      <c r="C121" t="str">
        <f>"Lns. ("&amp;A119&amp;" + "&amp;A120&amp;")"</f>
        <v>Lns. (71 + 72)</v>
      </c>
      <c r="D121" s="66">
        <f>SUM(D119:D120)</f>
        <v>8.0303422618039216E-2</v>
      </c>
      <c r="I121" s="66">
        <f>SUM(I119:I120)</f>
        <v>8.0303422618039216E-2</v>
      </c>
    </row>
    <row r="122" spans="1:9" x14ac:dyDescent="0.25">
      <c r="A122" s="1"/>
      <c r="D122" s="10"/>
    </row>
    <row r="123" spans="1:9" x14ac:dyDescent="0.25">
      <c r="A123" s="1">
        <f>A121+1</f>
        <v>74</v>
      </c>
      <c r="B123" t="s">
        <v>582</v>
      </c>
      <c r="C123" t="str">
        <f>"Lns. ("&amp;$A$79&amp;" x "&amp;A120&amp;")"</f>
        <v>Lns. (45 x 72)</v>
      </c>
      <c r="D123" s="10">
        <f>$D$79*D120</f>
        <v>160455595.23448509</v>
      </c>
      <c r="I123" s="10">
        <f>$I$79*I120</f>
        <v>15878404.181433745</v>
      </c>
    </row>
    <row r="124" spans="1:9" x14ac:dyDescent="0.25">
      <c r="A124" s="1">
        <f>A123+1</f>
        <v>75</v>
      </c>
      <c r="B124" t="s">
        <v>581</v>
      </c>
      <c r="C124" t="str">
        <f>"Lns. ("&amp;$A$79&amp;" x "&amp;A119&amp;")"</f>
        <v>Lns. (45 x 71)</v>
      </c>
      <c r="D124" s="10">
        <f>$D$79*D119</f>
        <v>88015363.003882751</v>
      </c>
      <c r="I124" s="10">
        <f>$I$79*I119</f>
        <v>8709845.8979191836</v>
      </c>
    </row>
    <row r="125" spans="1:9" x14ac:dyDescent="0.25">
      <c r="A125" s="1">
        <f>A124+1</f>
        <v>76</v>
      </c>
      <c r="B125" t="s">
        <v>583</v>
      </c>
      <c r="C125" t="str">
        <f>"Lns. ("&amp;A123&amp;" + "&amp;A124&amp;")"</f>
        <v>Lns. (74 + 75)</v>
      </c>
      <c r="D125" s="11">
        <f>SUM(D123:D124)</f>
        <v>248470958.23836786</v>
      </c>
      <c r="I125" s="11">
        <f>SUM(I123:I124)</f>
        <v>24588250.07935293</v>
      </c>
    </row>
    <row r="126" spans="1:9" x14ac:dyDescent="0.25">
      <c r="A126" s="1"/>
      <c r="D126" s="10"/>
    </row>
    <row r="127" spans="1:9" x14ac:dyDescent="0.25">
      <c r="A127" s="1"/>
      <c r="B127" s="12" t="s">
        <v>601</v>
      </c>
      <c r="D127" s="10"/>
    </row>
    <row r="128" spans="1:9" x14ac:dyDescent="0.25">
      <c r="A128" s="1">
        <f>A125+1</f>
        <v>77</v>
      </c>
      <c r="B128" t="s">
        <v>570</v>
      </c>
      <c r="C128" s="192" t="str">
        <f>'A19 (Income Tax Rates)'!H1&amp;", Ln. "&amp;'A19 (Income Tax Rates)'!A25</f>
        <v>Worksheet A19, Ln. 8</v>
      </c>
      <c r="D128" s="62">
        <f>'A19 (Income Tax Rates)'!$H$25</f>
        <v>0.22034260269390624</v>
      </c>
      <c r="I128" s="62">
        <f>'A19 (Income Tax Rates)'!$H$25</f>
        <v>0.22034260269390624</v>
      </c>
    </row>
    <row r="129" spans="1:9" x14ac:dyDescent="0.25">
      <c r="A129" s="1">
        <f>A128+1</f>
        <v>78</v>
      </c>
      <c r="B129" t="s">
        <v>600</v>
      </c>
      <c r="C129" t="str">
        <f>"Ln. "&amp;A128&amp;" / (1.0 - Ln. "&amp;A128&amp;")"</f>
        <v>Ln. 77 / (1.0 - Ln. 77)</v>
      </c>
      <c r="D129" s="62">
        <f>D128/(1-D128)</f>
        <v>0.28261465030055971</v>
      </c>
      <c r="I129" s="62">
        <f>I128/(1-I128)</f>
        <v>0.28261465030055971</v>
      </c>
    </row>
    <row r="130" spans="1:9" x14ac:dyDescent="0.25">
      <c r="A130" s="1"/>
      <c r="D130" s="10"/>
    </row>
    <row r="131" spans="1:9" x14ac:dyDescent="0.25">
      <c r="A131" s="1">
        <f>A129+1</f>
        <v>79</v>
      </c>
      <c r="B131" s="15" t="s">
        <v>868</v>
      </c>
      <c r="C131" t="str">
        <f>'A9 (Excess and Deficient DIT)'!AI1&amp;", Ln. "&amp;'A9 (Excess and Deficient DIT)'!A39&amp;", Col. [dd] x -1.0"</f>
        <v>Worksheet A9, Ln. 9, Col. [dd] x -1.0</v>
      </c>
      <c r="D131" s="10"/>
      <c r="I131" s="10">
        <f>'A9 (Excess and Deficient DIT)'!AE39*-1</f>
        <v>-38475.152871457743</v>
      </c>
    </row>
    <row r="132" spans="1:9" x14ac:dyDescent="0.25">
      <c r="A132" s="1">
        <f>A131+1</f>
        <v>80</v>
      </c>
      <c r="B132" s="15" t="s">
        <v>576</v>
      </c>
      <c r="C132" t="str">
        <f>'A20 (Permanent Differences)'!G1&amp;", Ln. "&amp;'A20 (Permanent Differences)'!A32&amp;", Cols. "&amp;'A20 (Permanent Differences)'!C9&amp;" and "&amp;'A20 (Permanent Differences)'!F9</f>
        <v>Worksheet A20, Ln. 8, Cols. [b] and [e]</v>
      </c>
      <c r="D132" s="10">
        <f>'A20 (Permanent Differences)'!C32</f>
        <v>6602291.2581527373</v>
      </c>
      <c r="I132" s="10">
        <f>'A20 (Permanent Differences)'!F32</f>
        <v>-884280.907161774</v>
      </c>
    </row>
    <row r="133" spans="1:9" x14ac:dyDescent="0.25">
      <c r="A133" s="1"/>
      <c r="B133" s="15"/>
      <c r="D133" s="10"/>
    </row>
    <row r="134" spans="1:9" x14ac:dyDescent="0.25">
      <c r="A134" s="1"/>
      <c r="B134" s="17" t="s">
        <v>63</v>
      </c>
      <c r="D134" s="10"/>
    </row>
    <row r="135" spans="1:9" x14ac:dyDescent="0.25">
      <c r="A135" s="1">
        <f>A132+1</f>
        <v>81</v>
      </c>
      <c r="B135" s="7" t="s">
        <v>577</v>
      </c>
      <c r="C135" t="str">
        <f>"Lns. ("&amp;A123&amp;" x "&amp;A129&amp;")"</f>
        <v>Lns. (74 x 78)</v>
      </c>
      <c r="D135" s="10">
        <f>D129*D123</f>
        <v>45347101.935962155</v>
      </c>
      <c r="I135" s="10">
        <f>I129*I123</f>
        <v>4487469.6450668424</v>
      </c>
    </row>
    <row r="136" spans="1:9" x14ac:dyDescent="0.25">
      <c r="A136" s="1">
        <f>A135+1</f>
        <v>82</v>
      </c>
      <c r="B136" s="7" t="s">
        <v>579</v>
      </c>
      <c r="C136" t="str">
        <f>"(1.0 + Ln. "&amp;A129&amp;") x Ln. "&amp;A131</f>
        <v>(1.0 + Ln. 78) x Ln. 79</v>
      </c>
      <c r="D136" s="10">
        <f>(1+D129)*D131</f>
        <v>0</v>
      </c>
      <c r="I136" s="10">
        <f>(1+I129)*I131</f>
        <v>-49348.794745485349</v>
      </c>
    </row>
    <row r="137" spans="1:9" x14ac:dyDescent="0.25">
      <c r="A137" s="1">
        <f t="shared" ref="A137:A138" si="21">A136+1</f>
        <v>83</v>
      </c>
      <c r="B137" s="7" t="s">
        <v>580</v>
      </c>
      <c r="C137" t="str">
        <f>"(1.0 + Ln. "&amp;A129&amp;") x Ln. "&amp;A128&amp;" x Ln. "&amp;A132</f>
        <v>(1.0 + Ln. 78) x Ln. 77 x Ln. 80</v>
      </c>
      <c r="D137" s="10">
        <f>(1+D129)*D128*D132</f>
        <v>1865904.2351052782</v>
      </c>
      <c r="I137" s="10">
        <f>(1+I129)*I128*I132</f>
        <v>-249910.73934498648</v>
      </c>
    </row>
    <row r="138" spans="1:9" x14ac:dyDescent="0.25">
      <c r="A138" s="1">
        <f t="shared" si="21"/>
        <v>84</v>
      </c>
      <c r="B138" s="15" t="s">
        <v>578</v>
      </c>
      <c r="C138" t="str">
        <f>"Sum Lns. ("&amp;A135&amp;" through "&amp;A137&amp;")"</f>
        <v>Sum Lns. (81 through 83)</v>
      </c>
      <c r="D138" s="11">
        <f>SUM(D135:D137)</f>
        <v>47213006.171067432</v>
      </c>
      <c r="I138" s="11">
        <f>SUM(I135:I137)</f>
        <v>4188210.1109763705</v>
      </c>
    </row>
    <row r="139" spans="1:9" x14ac:dyDescent="0.25">
      <c r="A139" s="1"/>
      <c r="B139" s="15"/>
      <c r="D139" s="10"/>
    </row>
    <row r="140" spans="1:9" x14ac:dyDescent="0.25">
      <c r="A140" s="1">
        <f>A138+1</f>
        <v>85</v>
      </c>
      <c r="B140" s="15" t="s">
        <v>733</v>
      </c>
      <c r="C140" t="str">
        <f>'A21 (Incentive Plant)'!AS1&amp;", Ln. "&amp;'A21 (Incentive Plant)'!A19&amp;", Col. [qq]"</f>
        <v>Worksheet A21, Ln. 2, Col. [qq]</v>
      </c>
      <c r="D140" s="10"/>
      <c r="I140" s="10">
        <f>'A21 (Incentive Plant)'!AR19</f>
        <v>0</v>
      </c>
    </row>
    <row r="141" spans="1:9" x14ac:dyDescent="0.25">
      <c r="A141" s="1"/>
      <c r="B141" s="15"/>
      <c r="D141" s="10"/>
    </row>
    <row r="142" spans="1:9" x14ac:dyDescent="0.25">
      <c r="A142" s="1">
        <f>A140+1</f>
        <v>86</v>
      </c>
      <c r="B142" t="s">
        <v>13</v>
      </c>
      <c r="C142" t="str">
        <f>"Sum Lns. ("&amp;A100&amp;", "&amp;A108&amp;", "&amp;A116&amp;", "&amp;A125&amp;", "&amp;A138&amp;", and "&amp;A140&amp;")"</f>
        <v>Sum Lns. (58, 64, 70, 76, 84, and 85)</v>
      </c>
      <c r="D142" s="19">
        <f>D100+D108+D116+D125+D138+D140</f>
        <v>494565034.85943526</v>
      </c>
      <c r="I142" s="19">
        <f>I100+I108+I116+I125+I138+I140</f>
        <v>79362988.675758779</v>
      </c>
    </row>
    <row r="143" spans="1:9" x14ac:dyDescent="0.25">
      <c r="A143" s="1"/>
      <c r="B143" s="15"/>
      <c r="D143" s="10"/>
    </row>
    <row r="144" spans="1:9" ht="5.25" customHeight="1" x14ac:dyDescent="0.25">
      <c r="A144" s="14"/>
      <c r="B144" s="5"/>
      <c r="C144" s="5"/>
      <c r="D144" s="64"/>
      <c r="E144" s="5"/>
      <c r="F144" s="5"/>
      <c r="G144" s="5"/>
      <c r="H144" s="5"/>
      <c r="I144" s="64"/>
    </row>
    <row r="145" spans="1:9" ht="5.25" customHeight="1" x14ac:dyDescent="0.25">
      <c r="A145" s="1"/>
      <c r="D145" s="10"/>
    </row>
    <row r="146" spans="1:9" x14ac:dyDescent="0.25">
      <c r="A146" s="22" t="str">
        <f>note</f>
        <v>Notes and Sources:</v>
      </c>
      <c r="D146" s="10"/>
    </row>
    <row r="147" spans="1:9" ht="16.5" customHeight="1" x14ac:dyDescent="0.25">
      <c r="A147" s="85">
        <v>1</v>
      </c>
      <c r="B147" s="265" t="s">
        <v>1016</v>
      </c>
      <c r="C147" s="265"/>
      <c r="D147" s="265"/>
      <c r="E147" s="265"/>
      <c r="F147" s="265"/>
      <c r="G147" s="265"/>
      <c r="H147" s="265"/>
      <c r="I147" s="265"/>
    </row>
    <row r="148" spans="1:9" ht="18.75" x14ac:dyDescent="0.25">
      <c r="A148" s="23">
        <v>2</v>
      </c>
      <c r="B148" t="s">
        <v>867</v>
      </c>
      <c r="D148" s="10"/>
    </row>
    <row r="149" spans="1:9" ht="46.35" customHeight="1" x14ac:dyDescent="0.25">
      <c r="A149" s="85">
        <v>3</v>
      </c>
      <c r="B149" s="265" t="str">
        <f>"Fixed other post-employment benefits (OPEB) expense of ($3,848,723) as established in Docket No. ER22-282-000. This amount cannot be modified absent a ruling from the Commission."&amp;" The fixed OPEB expense will be used in lieu of the actual OPEB expense incurred in the year absent FERC approval."&amp;" The Company reviews internal records and identifies the PBOP expenses to be removed from A&amp;G as shown on "&amp;'A16 (Operating Expenses)'!I1&amp;", line "&amp;'A16 (Operating Expenses)'!A19&amp;".  "</f>
        <v xml:space="preserve">Fixed other post-employment benefits (OPEB) expense of ($3,848,723) as established in Docket No. ER22-282-000. This amount cannot be modified absent a ruling from the Commission. The fixed OPEB expense will be used in lieu of the actual OPEB expense incurred in the year absent FERC approval. The Company reviews internal records and identifies the PBOP expenses to be removed from A&amp;G as shown on Worksheet A16, line 6.  </v>
      </c>
      <c r="C149" s="265"/>
      <c r="D149" s="265"/>
      <c r="E149" s="265"/>
      <c r="F149" s="265"/>
      <c r="G149" s="265"/>
      <c r="H149" s="265"/>
      <c r="I149" s="265"/>
    </row>
    <row r="150" spans="1:9" ht="18.75" x14ac:dyDescent="0.25">
      <c r="A150" s="85">
        <v>4</v>
      </c>
      <c r="B150" s="15" t="str">
        <f>"Throughout this Formula Rate Template (Actuals), network allocators are sourced from "&amp;'A22 (Allocation Factors)'!F1&amp;". "</f>
        <v xml:space="preserve">Throughout this Formula Rate Template (Actuals), network allocators are sourced from Worksheet A22. </v>
      </c>
      <c r="C150" s="141"/>
      <c r="D150" s="141"/>
      <c r="E150" s="141"/>
      <c r="F150" s="141"/>
      <c r="G150" s="141"/>
      <c r="H150" s="141"/>
      <c r="I150" s="141"/>
    </row>
    <row r="151" spans="1:9" ht="18.75" x14ac:dyDescent="0.25">
      <c r="A151" s="85">
        <v>5</v>
      </c>
      <c r="B151" t="s">
        <v>1020</v>
      </c>
      <c r="C151" s="141"/>
      <c r="D151" s="141"/>
      <c r="E151" s="141"/>
      <c r="F151" s="141"/>
      <c r="G151" s="141"/>
      <c r="H151" s="141"/>
      <c r="I151" s="141"/>
    </row>
    <row r="152" spans="1:9" ht="5.25" customHeight="1" thickBot="1" x14ac:dyDescent="0.3">
      <c r="A152" s="24"/>
      <c r="B152" s="4"/>
      <c r="C152" s="4"/>
      <c r="D152" s="67"/>
      <c r="E152" s="4"/>
      <c r="F152" s="4"/>
      <c r="G152" s="4"/>
      <c r="H152" s="4"/>
      <c r="I152" s="67"/>
    </row>
    <row r="153" spans="1:9" ht="5.25" customHeight="1" thickTop="1" x14ac:dyDescent="0.25">
      <c r="A153" s="1"/>
      <c r="D153" s="10"/>
    </row>
    <row r="154" spans="1:9" x14ac:dyDescent="0.25">
      <c r="A154" s="1"/>
      <c r="D154" s="10"/>
    </row>
    <row r="155" spans="1:9" x14ac:dyDescent="0.25">
      <c r="A155" s="1"/>
      <c r="D155" s="10"/>
    </row>
    <row r="156" spans="1:9" x14ac:dyDescent="0.25">
      <c r="A156" s="1"/>
      <c r="D156" s="10"/>
    </row>
    <row r="157" spans="1:9" x14ac:dyDescent="0.25">
      <c r="A157" s="1"/>
      <c r="D157" s="10"/>
    </row>
    <row r="158" spans="1:9" x14ac:dyDescent="0.25">
      <c r="A158" s="1"/>
      <c r="D158" s="10"/>
    </row>
    <row r="159" spans="1:9" x14ac:dyDescent="0.25">
      <c r="A159" s="1"/>
      <c r="D159" s="10"/>
    </row>
    <row r="160" spans="1:9" x14ac:dyDescent="0.25">
      <c r="A160" s="1"/>
      <c r="D160" s="10"/>
    </row>
    <row r="161" spans="1:4" x14ac:dyDescent="0.25">
      <c r="A161" s="1"/>
      <c r="D161" s="10"/>
    </row>
    <row r="162" spans="1:4" x14ac:dyDescent="0.25">
      <c r="A162" s="1"/>
      <c r="D162" s="10"/>
    </row>
    <row r="163" spans="1:4" x14ac:dyDescent="0.25">
      <c r="A163" s="1"/>
      <c r="D163" s="10"/>
    </row>
    <row r="164" spans="1:4" x14ac:dyDescent="0.25">
      <c r="A164" s="1"/>
      <c r="D164" s="10"/>
    </row>
  </sheetData>
  <mergeCells count="8">
    <mergeCell ref="B147:I147"/>
    <mergeCell ref="B149:I149"/>
    <mergeCell ref="I7:I8"/>
    <mergeCell ref="A7:A9"/>
    <mergeCell ref="B7:B8"/>
    <mergeCell ref="C7:C8"/>
    <mergeCell ref="D7:D8"/>
    <mergeCell ref="F7:G7"/>
  </mergeCells>
  <pageMargins left="0.7" right="0.7" top="0.75" bottom="0.75" header="0.3" footer="0.3"/>
  <pageSetup scale="70" fitToHeight="0" orientation="landscape" r:id="rId1"/>
  <headerFooter>
    <oddFooter>&amp;L&amp;6{W0327924.2 }</oddFooter>
  </headerFooter>
  <rowBreaks count="1" manualBreakCount="1">
    <brk id="79" max="16383" man="1"/>
  </rowBreaks>
  <ignoredErrors>
    <ignoredError sqref="D85" formulaRange="1"/>
    <ignoredError sqref="I93"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56"/>
  <sheetViews>
    <sheetView topLeftCell="A4" workbookViewId="0"/>
  </sheetViews>
  <sheetFormatPr defaultRowHeight="15.75" x14ac:dyDescent="0.25"/>
  <cols>
    <col min="1" max="1" width="5" style="1" customWidth="1"/>
    <col min="2" max="2" width="32.125" customWidth="1"/>
    <col min="3" max="3" width="17" customWidth="1"/>
    <col min="4" max="4" width="12.25" bestFit="1" customWidth="1"/>
    <col min="5" max="5" width="15.625" customWidth="1"/>
    <col min="6" max="6" width="14.125" bestFit="1" customWidth="1"/>
  </cols>
  <sheetData>
    <row r="1" spans="1:5" x14ac:dyDescent="0.25">
      <c r="A1" s="6" t="str">
        <f>epe</f>
        <v>El Paso Electric Company</v>
      </c>
      <c r="E1" s="8" t="s">
        <v>617</v>
      </c>
    </row>
    <row r="2" spans="1:5" x14ac:dyDescent="0.25">
      <c r="A2" t="str">
        <f>frta</f>
        <v>Formula Rate Template (Actuals)</v>
      </c>
    </row>
    <row r="3" spans="1:5" x14ac:dyDescent="0.25">
      <c r="A3" t="s">
        <v>57</v>
      </c>
    </row>
    <row r="4" spans="1:5" x14ac:dyDescent="0.25">
      <c r="A4" t="str">
        <f>"12 Months Ended December 31, "&amp;YEAR('A1 (FF1 Inputs)'!$E$12)</f>
        <v>12 Months Ended December 31, 2020</v>
      </c>
    </row>
    <row r="5" spans="1:5" ht="5.25" customHeight="1" thickBot="1" x14ac:dyDescent="0.3">
      <c r="A5" s="4"/>
      <c r="B5" s="4"/>
      <c r="C5" s="4"/>
      <c r="D5" s="4"/>
      <c r="E5" s="4"/>
    </row>
    <row r="6" spans="1:5" ht="5.25" customHeight="1" thickTop="1" x14ac:dyDescent="0.25">
      <c r="A6"/>
    </row>
    <row r="7" spans="1:5" s="40" customFormat="1" ht="31.5" x14ac:dyDescent="0.25">
      <c r="A7" s="267" t="str">
        <f>ln</f>
        <v>Line No.</v>
      </c>
      <c r="B7" s="40" t="str">
        <f>des</f>
        <v>Description</v>
      </c>
      <c r="C7" s="40" t="s">
        <v>536</v>
      </c>
      <c r="D7" s="40" t="s">
        <v>713</v>
      </c>
      <c r="E7" s="40" t="s">
        <v>528</v>
      </c>
    </row>
    <row r="8" spans="1:5" s="1" customFormat="1" x14ac:dyDescent="0.25">
      <c r="A8" s="267"/>
      <c r="B8" s="2" t="s">
        <v>7</v>
      </c>
      <c r="C8" s="2" t="s">
        <v>8</v>
      </c>
      <c r="D8" s="2" t="s">
        <v>9</v>
      </c>
      <c r="E8" s="2" t="s">
        <v>10</v>
      </c>
    </row>
    <row r="9" spans="1:5" ht="5.25" customHeight="1" x14ac:dyDescent="0.25">
      <c r="A9" s="5"/>
      <c r="B9" s="5"/>
      <c r="C9" s="5"/>
      <c r="D9" s="5"/>
      <c r="E9" s="5"/>
    </row>
    <row r="10" spans="1:5" ht="5.25" customHeight="1" x14ac:dyDescent="0.25">
      <c r="A10"/>
    </row>
    <row r="11" spans="1:5" x14ac:dyDescent="0.25">
      <c r="A11" s="287" t="s">
        <v>527</v>
      </c>
      <c r="B11" s="287"/>
      <c r="C11" s="287"/>
      <c r="D11" s="287"/>
      <c r="E11" s="287"/>
    </row>
    <row r="12" spans="1:5" x14ac:dyDescent="0.25">
      <c r="A12" s="31" t="s">
        <v>411</v>
      </c>
      <c r="B12" s="46" t="s">
        <v>529</v>
      </c>
      <c r="C12" s="46" t="s">
        <v>537</v>
      </c>
      <c r="D12" s="46" t="s">
        <v>530</v>
      </c>
      <c r="E12" s="37">
        <v>81174</v>
      </c>
    </row>
    <row r="13" spans="1:5" x14ac:dyDescent="0.25">
      <c r="A13" s="31" t="s">
        <v>412</v>
      </c>
      <c r="B13" s="46" t="s">
        <v>531</v>
      </c>
      <c r="C13" s="46" t="s">
        <v>537</v>
      </c>
      <c r="D13" s="46" t="s">
        <v>532</v>
      </c>
      <c r="E13" s="37">
        <v>6290759</v>
      </c>
    </row>
    <row r="14" spans="1:5" x14ac:dyDescent="0.25">
      <c r="A14" s="31" t="s">
        <v>413</v>
      </c>
      <c r="B14" s="46" t="s">
        <v>533</v>
      </c>
      <c r="C14" s="46" t="s">
        <v>537</v>
      </c>
      <c r="D14" s="46" t="s">
        <v>534</v>
      </c>
      <c r="E14" s="37">
        <v>47426</v>
      </c>
    </row>
    <row r="15" spans="1:5" x14ac:dyDescent="0.25">
      <c r="A15" s="31" t="s">
        <v>456</v>
      </c>
      <c r="B15" s="46" t="s">
        <v>533</v>
      </c>
      <c r="C15" s="46" t="s">
        <v>538</v>
      </c>
      <c r="D15" s="46" t="s">
        <v>535</v>
      </c>
      <c r="E15" s="37">
        <v>23961</v>
      </c>
    </row>
    <row r="16" spans="1:5" x14ac:dyDescent="0.25">
      <c r="A16" s="31" t="s">
        <v>457</v>
      </c>
      <c r="B16" s="46" t="s">
        <v>540</v>
      </c>
      <c r="C16" s="46" t="s">
        <v>541</v>
      </c>
      <c r="D16" s="46" t="s">
        <v>539</v>
      </c>
      <c r="E16" s="37">
        <v>2842115</v>
      </c>
    </row>
    <row r="17" spans="1:5" x14ac:dyDescent="0.25">
      <c r="A17" s="31" t="s">
        <v>357</v>
      </c>
      <c r="B17" s="46" t="s">
        <v>357</v>
      </c>
      <c r="C17" s="46"/>
      <c r="D17" s="46"/>
      <c r="E17" s="37"/>
    </row>
    <row r="18" spans="1:5" x14ac:dyDescent="0.25">
      <c r="A18" s="100" t="s">
        <v>478</v>
      </c>
      <c r="B18" s="48" t="s">
        <v>357</v>
      </c>
      <c r="C18" s="48"/>
      <c r="D18" s="48"/>
      <c r="E18" s="20"/>
    </row>
    <row r="19" spans="1:5" x14ac:dyDescent="0.25">
      <c r="A19" s="49">
        <v>2</v>
      </c>
      <c r="B19" s="50" t="str">
        <f>"Total "&amp;A11&amp;" (Sum Lns. "&amp;A12&amp;" through "&amp;A18&amp;")"</f>
        <v>Total Payroll Taxes (Sum Lns. 1a through 1zz)</v>
      </c>
      <c r="C19" s="50"/>
      <c r="D19" s="50"/>
      <c r="E19" s="19">
        <f>SUM(E12:E18)</f>
        <v>9285435</v>
      </c>
    </row>
    <row r="21" spans="1:5" x14ac:dyDescent="0.25">
      <c r="A21" s="287" t="s">
        <v>542</v>
      </c>
      <c r="B21" s="287"/>
      <c r="C21" s="287"/>
      <c r="D21" s="287"/>
      <c r="E21" s="287"/>
    </row>
    <row r="22" spans="1:5" x14ac:dyDescent="0.25">
      <c r="A22" s="31" t="s">
        <v>509</v>
      </c>
      <c r="B22" s="46" t="s">
        <v>357</v>
      </c>
      <c r="C22" s="46"/>
      <c r="D22" s="46"/>
      <c r="E22" s="37"/>
    </row>
    <row r="23" spans="1:5" x14ac:dyDescent="0.25">
      <c r="A23" s="31" t="s">
        <v>357</v>
      </c>
      <c r="B23" s="46" t="s">
        <v>357</v>
      </c>
      <c r="C23" s="46"/>
      <c r="D23" s="46"/>
      <c r="E23" s="37"/>
    </row>
    <row r="24" spans="1:5" x14ac:dyDescent="0.25">
      <c r="A24" s="100" t="s">
        <v>510</v>
      </c>
      <c r="B24" s="48" t="s">
        <v>357</v>
      </c>
      <c r="C24" s="48"/>
      <c r="D24" s="48"/>
      <c r="E24" s="20"/>
    </row>
    <row r="25" spans="1:5" x14ac:dyDescent="0.25">
      <c r="A25" s="49">
        <v>4</v>
      </c>
      <c r="B25" s="50" t="str">
        <f>"Total "&amp;A21&amp;" (Sum Lns. "&amp;A22&amp;" through "&amp;A24&amp;")"</f>
        <v>Total Highway and Vehicle Taxes (Sum Lns. 3a through 3zz)</v>
      </c>
      <c r="C25" s="50"/>
      <c r="D25" s="50"/>
      <c r="E25" s="19">
        <f>SUM(E22:E24)</f>
        <v>0</v>
      </c>
    </row>
    <row r="27" spans="1:5" x14ac:dyDescent="0.25">
      <c r="A27" s="287" t="s">
        <v>543</v>
      </c>
      <c r="B27" s="287"/>
      <c r="C27" s="287"/>
      <c r="D27" s="287"/>
      <c r="E27" s="287"/>
    </row>
    <row r="28" spans="1:5" x14ac:dyDescent="0.25">
      <c r="A28" s="31" t="s">
        <v>354</v>
      </c>
      <c r="B28" s="46" t="s">
        <v>545</v>
      </c>
      <c r="C28" s="46" t="s">
        <v>546</v>
      </c>
      <c r="D28" s="46" t="s">
        <v>544</v>
      </c>
      <c r="E28" s="37">
        <v>17718628</v>
      </c>
    </row>
    <row r="29" spans="1:5" x14ac:dyDescent="0.25">
      <c r="A29" s="31" t="s">
        <v>355</v>
      </c>
      <c r="B29" s="46" t="s">
        <v>545</v>
      </c>
      <c r="C29" s="46" t="s">
        <v>538</v>
      </c>
      <c r="D29" s="46" t="s">
        <v>547</v>
      </c>
      <c r="E29" s="37">
        <v>3907431</v>
      </c>
    </row>
    <row r="30" spans="1:5" x14ac:dyDescent="0.25">
      <c r="A30" s="31" t="s">
        <v>356</v>
      </c>
      <c r="B30" s="46" t="s">
        <v>545</v>
      </c>
      <c r="C30" s="46" t="s">
        <v>541</v>
      </c>
      <c r="D30" s="46" t="s">
        <v>548</v>
      </c>
      <c r="E30" s="37">
        <v>6647928</v>
      </c>
    </row>
    <row r="31" spans="1:5" x14ac:dyDescent="0.25">
      <c r="A31" s="31" t="s">
        <v>357</v>
      </c>
      <c r="B31" s="46" t="s">
        <v>357</v>
      </c>
      <c r="C31" s="46"/>
      <c r="D31" s="46"/>
      <c r="E31" s="37"/>
    </row>
    <row r="32" spans="1:5" x14ac:dyDescent="0.25">
      <c r="A32" s="101" t="s">
        <v>516</v>
      </c>
      <c r="B32" s="54" t="s">
        <v>357</v>
      </c>
      <c r="C32" s="54"/>
      <c r="D32" s="54"/>
      <c r="E32" s="55"/>
    </row>
    <row r="33" spans="1:5" x14ac:dyDescent="0.25">
      <c r="A33" s="49">
        <v>6</v>
      </c>
      <c r="B33" s="50" t="str">
        <f>"Total "&amp;A27&amp;" (Sum Lns. "&amp;A28&amp;" through "&amp;A32&amp;")"</f>
        <v>Total Property Taxes (Sum Lns. 5a through 5zz)</v>
      </c>
      <c r="C33" s="50"/>
      <c r="D33" s="50"/>
      <c r="E33" s="19">
        <f>SUM(E28:E32)</f>
        <v>28273987</v>
      </c>
    </row>
    <row r="35" spans="1:5" x14ac:dyDescent="0.25">
      <c r="A35" s="287" t="s">
        <v>553</v>
      </c>
      <c r="B35" s="287"/>
      <c r="C35" s="287"/>
      <c r="D35" s="287"/>
      <c r="E35" s="287"/>
    </row>
    <row r="36" spans="1:5" x14ac:dyDescent="0.25">
      <c r="A36" s="31" t="s">
        <v>549</v>
      </c>
      <c r="B36" s="46" t="s">
        <v>61</v>
      </c>
      <c r="C36" s="46" t="s">
        <v>546</v>
      </c>
      <c r="D36" s="46" t="s">
        <v>551</v>
      </c>
      <c r="E36" s="37">
        <v>10007659</v>
      </c>
    </row>
    <row r="37" spans="1:5" x14ac:dyDescent="0.25">
      <c r="A37" s="31" t="s">
        <v>357</v>
      </c>
      <c r="B37" s="46" t="s">
        <v>357</v>
      </c>
      <c r="C37" s="46"/>
      <c r="D37" s="46"/>
      <c r="E37" s="37"/>
    </row>
    <row r="38" spans="1:5" x14ac:dyDescent="0.25">
      <c r="A38" s="100" t="s">
        <v>550</v>
      </c>
      <c r="B38" s="48" t="s">
        <v>357</v>
      </c>
      <c r="C38" s="48"/>
      <c r="D38" s="48"/>
      <c r="E38" s="20"/>
    </row>
    <row r="39" spans="1:5" x14ac:dyDescent="0.25">
      <c r="A39" s="49">
        <v>8</v>
      </c>
      <c r="B39" s="50" t="str">
        <f>"Total "&amp;A35&amp;" (Sum Lns. "&amp;A36&amp;" through "&amp;A38&amp;")"</f>
        <v>Total Gross Receipts Taxes (Sum Lns. 7a through 7zz)</v>
      </c>
      <c r="C39" s="50"/>
      <c r="D39" s="50"/>
      <c r="E39" s="19">
        <f>SUM(E36:E38)</f>
        <v>10007659</v>
      </c>
    </row>
    <row r="41" spans="1:5" x14ac:dyDescent="0.25">
      <c r="A41" s="287" t="s">
        <v>552</v>
      </c>
      <c r="B41" s="287"/>
      <c r="C41" s="287"/>
      <c r="D41" s="287"/>
      <c r="E41" s="287"/>
    </row>
    <row r="42" spans="1:5" x14ac:dyDescent="0.25">
      <c r="A42" s="31" t="s">
        <v>554</v>
      </c>
      <c r="B42" s="46" t="s">
        <v>562</v>
      </c>
      <c r="C42" s="46" t="s">
        <v>546</v>
      </c>
      <c r="D42" s="46" t="s">
        <v>561</v>
      </c>
      <c r="E42" s="37">
        <v>106665</v>
      </c>
    </row>
    <row r="43" spans="1:5" x14ac:dyDescent="0.25">
      <c r="A43" s="31" t="s">
        <v>555</v>
      </c>
      <c r="B43" s="46" t="s">
        <v>564</v>
      </c>
      <c r="C43" s="46" t="s">
        <v>538</v>
      </c>
      <c r="D43" s="46" t="s">
        <v>563</v>
      </c>
      <c r="E43" s="37">
        <v>31195</v>
      </c>
    </row>
    <row r="44" spans="1:5" x14ac:dyDescent="0.25">
      <c r="A44" s="31" t="s">
        <v>556</v>
      </c>
      <c r="B44" s="46" t="s">
        <v>552</v>
      </c>
      <c r="C44" s="46" t="s">
        <v>538</v>
      </c>
      <c r="D44" s="46" t="s">
        <v>565</v>
      </c>
      <c r="E44" s="37">
        <v>-18940</v>
      </c>
    </row>
    <row r="45" spans="1:5" x14ac:dyDescent="0.25">
      <c r="A45" s="31" t="s">
        <v>357</v>
      </c>
      <c r="B45" s="46" t="s">
        <v>357</v>
      </c>
      <c r="C45" s="46"/>
      <c r="D45" s="46"/>
      <c r="E45" s="37"/>
    </row>
    <row r="46" spans="1:5" x14ac:dyDescent="0.25">
      <c r="A46" s="100" t="s">
        <v>559</v>
      </c>
      <c r="B46" s="48" t="s">
        <v>357</v>
      </c>
      <c r="C46" s="48"/>
      <c r="D46" s="48"/>
      <c r="E46" s="20"/>
    </row>
    <row r="47" spans="1:5" x14ac:dyDescent="0.25">
      <c r="A47" s="49">
        <v>10</v>
      </c>
      <c r="B47" s="50" t="str">
        <f>"Total "&amp;A41&amp;" (Sum Lns. "&amp;A42&amp;" through "&amp;A46&amp;")"</f>
        <v>Total Other Taxes (Sum Lns. 9a through 9zz)</v>
      </c>
      <c r="C47" s="50"/>
      <c r="D47" s="50"/>
      <c r="E47" s="19">
        <f>SUM(E42:E46)</f>
        <v>118920</v>
      </c>
    </row>
    <row r="49" spans="1:5" ht="16.5" thickBot="1" x14ac:dyDescent="0.3">
      <c r="A49" s="51">
        <f>A47+1</f>
        <v>11</v>
      </c>
      <c r="B49" s="52" t="s">
        <v>560</v>
      </c>
      <c r="C49" s="52"/>
      <c r="D49" s="52"/>
      <c r="E49" s="13">
        <f>E19+E25+E33+E39+E47</f>
        <v>47686001</v>
      </c>
    </row>
    <row r="50" spans="1:5" ht="5.25" customHeight="1" thickTop="1" x14ac:dyDescent="0.25">
      <c r="A50" s="14"/>
      <c r="B50" s="5"/>
      <c r="C50" s="5"/>
      <c r="D50" s="5"/>
      <c r="E50" s="5"/>
    </row>
    <row r="51" spans="1:5" ht="5.25" customHeight="1" x14ac:dyDescent="0.25"/>
    <row r="52" spans="1:5" x14ac:dyDescent="0.25">
      <c r="A52" s="22" t="str">
        <f>note</f>
        <v>Notes and Sources:</v>
      </c>
    </row>
    <row r="53" spans="1:5" ht="18.75" x14ac:dyDescent="0.25">
      <c r="A53" s="23">
        <v>1</v>
      </c>
      <c r="B53" t="s">
        <v>1029</v>
      </c>
    </row>
    <row r="54" spans="1:5" x14ac:dyDescent="0.25">
      <c r="B54" t="s">
        <v>863</v>
      </c>
    </row>
    <row r="55" spans="1:5" ht="5.25" customHeight="1" thickBot="1" x14ac:dyDescent="0.3">
      <c r="A55" s="24"/>
      <c r="B55" s="4"/>
      <c r="C55" s="4"/>
      <c r="D55" s="4"/>
      <c r="E55" s="4"/>
    </row>
    <row r="56" spans="1:5" ht="5.25" customHeight="1" thickTop="1" x14ac:dyDescent="0.25"/>
  </sheetData>
  <mergeCells count="6">
    <mergeCell ref="A41:E41"/>
    <mergeCell ref="A7:A8"/>
    <mergeCell ref="A11:E11"/>
    <mergeCell ref="A21:E21"/>
    <mergeCell ref="A27:E27"/>
    <mergeCell ref="A35:E35"/>
  </mergeCells>
  <pageMargins left="0.7" right="0.7" top="0.75" bottom="0.75" header="0.3" footer="0.3"/>
  <pageSetup orientation="portrait" horizontalDpi="1200" verticalDpi="1200" r:id="rId1"/>
  <headerFooter>
    <oddFooter>&amp;L&amp;6{W0327924.2 }</oddFooter>
  </headerFooter>
  <rowBreaks count="1" manualBreakCount="1">
    <brk id="3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49"/>
  <sheetViews>
    <sheetView workbookViewId="0"/>
  </sheetViews>
  <sheetFormatPr defaultRowHeight="15.75" x14ac:dyDescent="0.25"/>
  <cols>
    <col min="1" max="1" width="5" style="1" customWidth="1"/>
    <col min="2" max="2" width="37.25" customWidth="1"/>
    <col min="3" max="9" width="15.625" customWidth="1"/>
  </cols>
  <sheetData>
    <row r="1" spans="1:9" x14ac:dyDescent="0.25">
      <c r="A1" s="6" t="str">
        <f>epe</f>
        <v>El Paso Electric Company</v>
      </c>
      <c r="I1" s="8" t="s">
        <v>627</v>
      </c>
    </row>
    <row r="2" spans="1:9" x14ac:dyDescent="0.25">
      <c r="A2" t="str">
        <f>frta</f>
        <v>Formula Rate Template (Actuals)</v>
      </c>
    </row>
    <row r="3" spans="1:9" x14ac:dyDescent="0.25">
      <c r="A3" t="s">
        <v>585</v>
      </c>
    </row>
    <row r="4" spans="1:9" x14ac:dyDescent="0.25">
      <c r="A4" t="str">
        <f>"12 Months Ended December 31, "&amp;YEAR('A1 (FF1 Inputs)'!$E$12)</f>
        <v>12 Months Ended December 31, 2020</v>
      </c>
    </row>
    <row r="5" spans="1:9" ht="5.25" customHeight="1" thickBot="1" x14ac:dyDescent="0.3">
      <c r="A5" s="4"/>
      <c r="B5" s="4"/>
      <c r="C5" s="4"/>
      <c r="D5" s="4"/>
      <c r="E5" s="4"/>
      <c r="F5" s="4"/>
      <c r="G5" s="4"/>
      <c r="H5" s="4"/>
      <c r="I5" s="4"/>
    </row>
    <row r="6" spans="1:9" ht="5.25" customHeight="1" thickTop="1" x14ac:dyDescent="0.25">
      <c r="A6"/>
    </row>
    <row r="7" spans="1:9" s="40" customFormat="1" ht="66" customHeight="1" x14ac:dyDescent="0.25">
      <c r="A7" s="40" t="str">
        <f>ln</f>
        <v>Line No.</v>
      </c>
      <c r="B7" s="40" t="s">
        <v>363</v>
      </c>
      <c r="C7" s="40" t="s">
        <v>65</v>
      </c>
      <c r="D7" s="40" t="s">
        <v>66</v>
      </c>
      <c r="E7" s="40" t="s">
        <v>67</v>
      </c>
      <c r="F7" s="40" t="s">
        <v>68</v>
      </c>
      <c r="G7" s="65" t="s">
        <v>586</v>
      </c>
      <c r="H7" s="102" t="s">
        <v>730</v>
      </c>
      <c r="I7" s="65" t="s">
        <v>650</v>
      </c>
    </row>
    <row r="8" spans="1:9" s="1" customFormat="1" x14ac:dyDescent="0.25">
      <c r="A8" s="103"/>
      <c r="B8" s="2" t="s">
        <v>7</v>
      </c>
      <c r="C8" s="2" t="s">
        <v>8</v>
      </c>
      <c r="D8" s="2" t="s">
        <v>9</v>
      </c>
      <c r="E8" s="2" t="s">
        <v>10</v>
      </c>
      <c r="F8" s="2" t="s">
        <v>11</v>
      </c>
      <c r="G8" s="2" t="s">
        <v>587</v>
      </c>
      <c r="H8" s="1" t="s">
        <v>91</v>
      </c>
      <c r="I8" s="1" t="s">
        <v>729</v>
      </c>
    </row>
    <row r="9" spans="1:9" ht="5.25" customHeight="1" x14ac:dyDescent="0.25">
      <c r="A9" s="5"/>
      <c r="B9" s="5"/>
      <c r="C9" s="5"/>
      <c r="D9" s="5"/>
      <c r="E9" s="5"/>
      <c r="F9" s="5"/>
      <c r="G9" s="5"/>
      <c r="H9" s="5"/>
      <c r="I9" s="5"/>
    </row>
    <row r="10" spans="1:9" ht="5.25" customHeight="1" x14ac:dyDescent="0.25">
      <c r="A10"/>
    </row>
    <row r="11" spans="1:9" x14ac:dyDescent="0.25">
      <c r="A11" s="1">
        <v>1</v>
      </c>
      <c r="B11" s="78" t="s">
        <v>661</v>
      </c>
      <c r="C11" s="79" t="str">
        <f>'A1 (FF1 Inputs)'!$E$1&amp;", Ln. "&amp;'A1 (FF1 Inputs)'!A19</f>
        <v>Worksheet A1, Ln. 6</v>
      </c>
      <c r="D11" s="79" t="str">
        <f>'A1 (FF1 Inputs)'!$E$1&amp;", Ln. "&amp;'A1 (FF1 Inputs)'!A20</f>
        <v>Worksheet A1, Ln. 7</v>
      </c>
      <c r="E11" s="92" t="str">
        <f>'A1 (FF1 Inputs)'!$E$1&amp;", Ln. "&amp;'A1 (FF1 Inputs)'!A21</f>
        <v>Worksheet A1, Ln. 8</v>
      </c>
      <c r="F11" s="92" t="str">
        <f>'A1 (FF1 Inputs)'!$E$1&amp;", Ln. "&amp;'A1 (FF1 Inputs)'!A22</f>
        <v>Worksheet A1, Ln. 9</v>
      </c>
      <c r="G11" s="92"/>
      <c r="H11" s="92" t="str">
        <f>'A1 (FF1 Inputs)'!$E$1&amp;", Ln. "&amp;'A1 (FF1 Inputs)'!A23</f>
        <v>Worksheet A1, Ln. 10</v>
      </c>
      <c r="I11" s="92"/>
    </row>
    <row r="12" spans="1:9" ht="7.5" customHeight="1" x14ac:dyDescent="0.25">
      <c r="A12"/>
    </row>
    <row r="13" spans="1:9" x14ac:dyDescent="0.25">
      <c r="A13" s="1">
        <f>A11+1</f>
        <v>2</v>
      </c>
      <c r="B13" t="s">
        <v>370</v>
      </c>
      <c r="C13" s="41">
        <f>'A1 (FF1 Inputs)'!D19</f>
        <v>0</v>
      </c>
      <c r="D13" s="41">
        <f>'A1 (FF1 Inputs)'!D20</f>
        <v>0</v>
      </c>
      <c r="E13" s="41">
        <f>'A1 (FF1 Inputs)'!D21</f>
        <v>-48547164</v>
      </c>
      <c r="F13" s="41">
        <f>'A1 (FF1 Inputs)'!D22</f>
        <v>1236463123</v>
      </c>
      <c r="G13" s="41">
        <f>F13-C13-D13-E13</f>
        <v>1285010287</v>
      </c>
      <c r="H13" s="41">
        <f>'A1 (FF1 Inputs)'!D23</f>
        <v>1288018879</v>
      </c>
      <c r="I13" s="41">
        <f>G13+H13</f>
        <v>2573029166</v>
      </c>
    </row>
    <row r="14" spans="1:9" x14ac:dyDescent="0.25">
      <c r="A14" s="1">
        <f>A13+1</f>
        <v>3</v>
      </c>
      <c r="B14" t="s">
        <v>79</v>
      </c>
      <c r="C14" s="37">
        <v>0</v>
      </c>
      <c r="D14" s="37">
        <v>0</v>
      </c>
      <c r="E14" s="37">
        <v>-48826961</v>
      </c>
      <c r="F14" s="37">
        <v>1236490901</v>
      </c>
      <c r="G14" s="41">
        <f t="shared" ref="G14:G25" si="0">F14-C14-D14-E14</f>
        <v>1285317862</v>
      </c>
      <c r="H14" s="37">
        <v>1288018679</v>
      </c>
      <c r="I14" s="41">
        <f t="shared" ref="I14:I24" si="1">G14+H14</f>
        <v>2573336541</v>
      </c>
    </row>
    <row r="15" spans="1:9" x14ac:dyDescent="0.25">
      <c r="A15" s="1">
        <f t="shared" ref="A15:A26" si="2">A14+1</f>
        <v>4</v>
      </c>
      <c r="B15" t="s">
        <v>80</v>
      </c>
      <c r="C15" s="37">
        <v>0</v>
      </c>
      <c r="D15" s="37">
        <v>0</v>
      </c>
      <c r="E15" s="37">
        <v>-49201643</v>
      </c>
      <c r="F15" s="37">
        <v>1208701389</v>
      </c>
      <c r="G15" s="41">
        <f t="shared" si="0"/>
        <v>1257903032</v>
      </c>
      <c r="H15" s="37">
        <v>1288018479</v>
      </c>
      <c r="I15" s="41">
        <f t="shared" si="1"/>
        <v>2545921511</v>
      </c>
    </row>
    <row r="16" spans="1:9" x14ac:dyDescent="0.25">
      <c r="A16" s="1">
        <f t="shared" si="2"/>
        <v>5</v>
      </c>
      <c r="B16" t="s">
        <v>81</v>
      </c>
      <c r="C16" s="37">
        <v>0</v>
      </c>
      <c r="D16" s="37">
        <v>0</v>
      </c>
      <c r="E16" s="37">
        <v>-48767809</v>
      </c>
      <c r="F16" s="37">
        <v>1185916655</v>
      </c>
      <c r="G16" s="41">
        <f t="shared" si="0"/>
        <v>1234684464</v>
      </c>
      <c r="H16" s="37">
        <v>1288018279</v>
      </c>
      <c r="I16" s="41">
        <f t="shared" si="1"/>
        <v>2522702743</v>
      </c>
    </row>
    <row r="17" spans="1:9" x14ac:dyDescent="0.25">
      <c r="A17" s="1">
        <f t="shared" si="2"/>
        <v>6</v>
      </c>
      <c r="B17" t="s">
        <v>82</v>
      </c>
      <c r="C17" s="37">
        <v>0</v>
      </c>
      <c r="D17" s="37">
        <v>0</v>
      </c>
      <c r="E17" s="37">
        <v>-48662477</v>
      </c>
      <c r="F17" s="37">
        <v>1196497034</v>
      </c>
      <c r="G17" s="41">
        <f t="shared" si="0"/>
        <v>1245159511</v>
      </c>
      <c r="H17" s="37">
        <v>1288018166</v>
      </c>
      <c r="I17" s="41">
        <f t="shared" si="1"/>
        <v>2533177677</v>
      </c>
    </row>
    <row r="18" spans="1:9" x14ac:dyDescent="0.25">
      <c r="A18" s="1">
        <f t="shared" si="2"/>
        <v>7</v>
      </c>
      <c r="B18" t="s">
        <v>83</v>
      </c>
      <c r="C18" s="37">
        <v>0</v>
      </c>
      <c r="D18" s="37">
        <v>0</v>
      </c>
      <c r="E18" s="37">
        <v>-48624487</v>
      </c>
      <c r="F18" s="37">
        <v>1218937827</v>
      </c>
      <c r="G18" s="41">
        <f t="shared" si="0"/>
        <v>1267562314</v>
      </c>
      <c r="H18" s="37">
        <v>1288018053</v>
      </c>
      <c r="I18" s="41">
        <f t="shared" si="1"/>
        <v>2555580367</v>
      </c>
    </row>
    <row r="19" spans="1:9" x14ac:dyDescent="0.25">
      <c r="A19" s="1">
        <f t="shared" si="2"/>
        <v>8</v>
      </c>
      <c r="B19" t="s">
        <v>84</v>
      </c>
      <c r="C19" s="37">
        <v>0</v>
      </c>
      <c r="D19" s="37">
        <v>0</v>
      </c>
      <c r="E19" s="37">
        <v>-48607909</v>
      </c>
      <c r="F19" s="37">
        <v>1228859773</v>
      </c>
      <c r="G19" s="41">
        <f t="shared" si="0"/>
        <v>1277467682</v>
      </c>
      <c r="H19" s="37">
        <v>1288018139</v>
      </c>
      <c r="I19" s="41">
        <f t="shared" si="1"/>
        <v>2565485821</v>
      </c>
    </row>
    <row r="20" spans="1:9" x14ac:dyDescent="0.25">
      <c r="A20" s="1">
        <f t="shared" si="2"/>
        <v>9</v>
      </c>
      <c r="B20" t="s">
        <v>85</v>
      </c>
      <c r="C20" s="37">
        <v>0</v>
      </c>
      <c r="D20" s="37">
        <v>0</v>
      </c>
      <c r="E20" s="37">
        <v>-48554536</v>
      </c>
      <c r="F20" s="37">
        <v>1218895295</v>
      </c>
      <c r="G20" s="41">
        <f t="shared" si="0"/>
        <v>1267449831</v>
      </c>
      <c r="H20" s="37">
        <v>1288017998</v>
      </c>
      <c r="I20" s="41">
        <f t="shared" si="1"/>
        <v>2555467829</v>
      </c>
    </row>
    <row r="21" spans="1:9" x14ac:dyDescent="0.25">
      <c r="A21" s="1">
        <f t="shared" si="2"/>
        <v>10</v>
      </c>
      <c r="B21" t="s">
        <v>86</v>
      </c>
      <c r="C21" s="37">
        <v>0</v>
      </c>
      <c r="D21" s="37">
        <v>0</v>
      </c>
      <c r="E21" s="37">
        <v>-48331288</v>
      </c>
      <c r="F21" s="37">
        <v>1255007766</v>
      </c>
      <c r="G21" s="41">
        <f t="shared" si="0"/>
        <v>1303339054</v>
      </c>
      <c r="H21" s="37">
        <v>1288017857</v>
      </c>
      <c r="I21" s="41">
        <f t="shared" si="1"/>
        <v>2591356911</v>
      </c>
    </row>
    <row r="22" spans="1:9" x14ac:dyDescent="0.25">
      <c r="A22" s="1">
        <f t="shared" si="2"/>
        <v>11</v>
      </c>
      <c r="B22" t="s">
        <v>87</v>
      </c>
      <c r="C22" s="37">
        <v>0</v>
      </c>
      <c r="D22" s="37">
        <v>0</v>
      </c>
      <c r="E22" s="37">
        <v>-48370354</v>
      </c>
      <c r="F22" s="37">
        <v>1387012011</v>
      </c>
      <c r="G22" s="41">
        <f t="shared" si="0"/>
        <v>1435382365</v>
      </c>
      <c r="H22" s="37">
        <v>1288017716</v>
      </c>
      <c r="I22" s="41">
        <f t="shared" si="1"/>
        <v>2723400081</v>
      </c>
    </row>
    <row r="23" spans="1:9" x14ac:dyDescent="0.25">
      <c r="A23" s="1">
        <f t="shared" si="2"/>
        <v>12</v>
      </c>
      <c r="B23" t="s">
        <v>88</v>
      </c>
      <c r="C23" s="37">
        <v>0</v>
      </c>
      <c r="D23" s="37">
        <v>0</v>
      </c>
      <c r="E23" s="37">
        <v>-48394922</v>
      </c>
      <c r="F23" s="37">
        <v>1368456017</v>
      </c>
      <c r="G23" s="41">
        <f t="shared" si="0"/>
        <v>1416850939</v>
      </c>
      <c r="H23" s="37">
        <v>1288017634</v>
      </c>
      <c r="I23" s="41">
        <f t="shared" si="1"/>
        <v>2704868573</v>
      </c>
    </row>
    <row r="24" spans="1:9" x14ac:dyDescent="0.25">
      <c r="A24" s="1">
        <f t="shared" si="2"/>
        <v>13</v>
      </c>
      <c r="B24" t="s">
        <v>89</v>
      </c>
      <c r="C24" s="37">
        <v>0</v>
      </c>
      <c r="D24" s="37">
        <v>0</v>
      </c>
      <c r="E24" s="37">
        <v>-48249389</v>
      </c>
      <c r="F24" s="37">
        <v>1385724823</v>
      </c>
      <c r="G24" s="41">
        <f t="shared" si="0"/>
        <v>1433974212</v>
      </c>
      <c r="H24" s="37">
        <v>1288017553</v>
      </c>
      <c r="I24" s="41">
        <f t="shared" si="1"/>
        <v>2721991765</v>
      </c>
    </row>
    <row r="25" spans="1:9" x14ac:dyDescent="0.25">
      <c r="A25" s="1">
        <f t="shared" si="2"/>
        <v>14</v>
      </c>
      <c r="B25" t="s">
        <v>90</v>
      </c>
      <c r="C25" s="10">
        <f>'A1 (FF1 Inputs)'!E19</f>
        <v>0</v>
      </c>
      <c r="D25" s="10">
        <f>'A1 (FF1 Inputs)'!E20</f>
        <v>0</v>
      </c>
      <c r="E25" s="10">
        <f>'A1 (FF1 Inputs)'!E21</f>
        <v>-38805402</v>
      </c>
      <c r="F25" s="10">
        <f>'A1 (FF1 Inputs)'!E22</f>
        <v>1397187639</v>
      </c>
      <c r="G25" s="41">
        <f t="shared" si="0"/>
        <v>1435993041</v>
      </c>
      <c r="H25" s="10">
        <f>'A1 (FF1 Inputs)'!E23</f>
        <v>1288017678</v>
      </c>
      <c r="I25" s="41">
        <f>G25+H25</f>
        <v>2724010719</v>
      </c>
    </row>
    <row r="26" spans="1:9" s="6" customFormat="1" x14ac:dyDescent="0.25">
      <c r="A26" s="16">
        <f t="shared" si="2"/>
        <v>15</v>
      </c>
      <c r="B26" s="6" t="str">
        <f>"13-Month Average (Avg. Lns. "&amp;A13&amp;" through "&amp;A25&amp;")"</f>
        <v>13-Month Average (Avg. Lns. 2 through 14)</v>
      </c>
      <c r="C26" s="90">
        <f>IFERROR(AVERAGE(C13:C25),0)</f>
        <v>0</v>
      </c>
      <c r="D26" s="90">
        <f t="shared" ref="D26:G26" si="3">IFERROR(AVERAGE(D13:D25),0)</f>
        <v>0</v>
      </c>
      <c r="E26" s="90">
        <f t="shared" si="3"/>
        <v>-47841872.384615384</v>
      </c>
      <c r="F26" s="90">
        <f t="shared" si="3"/>
        <v>1271088481</v>
      </c>
      <c r="G26" s="90">
        <f t="shared" si="3"/>
        <v>1318930353.3846154</v>
      </c>
      <c r="H26" s="90">
        <f t="shared" ref="H26:I26" si="4">IFERROR(AVERAGE(H13:H25),0)</f>
        <v>1288018085.3846154</v>
      </c>
      <c r="I26" s="90">
        <f t="shared" si="4"/>
        <v>2606948438.7692308</v>
      </c>
    </row>
    <row r="27" spans="1:9" x14ac:dyDescent="0.25">
      <c r="C27" s="10"/>
      <c r="D27" s="10"/>
      <c r="E27" s="10"/>
      <c r="F27" s="10"/>
      <c r="G27" s="10"/>
      <c r="H27" s="10"/>
    </row>
    <row r="28" spans="1:9" ht="18.75" x14ac:dyDescent="0.25">
      <c r="A28" s="1">
        <f>A26+1</f>
        <v>16</v>
      </c>
      <c r="B28" t="s">
        <v>710</v>
      </c>
      <c r="C28" s="10"/>
      <c r="D28" s="10"/>
      <c r="E28" s="10"/>
      <c r="F28" s="10"/>
      <c r="G28" s="60">
        <f>G26/($G$26+$H$26)</f>
        <v>0.50592882228514535</v>
      </c>
      <c r="H28" s="60">
        <f>H26/($G$26+$H$26)</f>
        <v>0.49407117771485459</v>
      </c>
      <c r="I28" s="62">
        <f>G28+H28</f>
        <v>1</v>
      </c>
    </row>
    <row r="29" spans="1:9" ht="18.75" x14ac:dyDescent="0.25">
      <c r="A29" s="1">
        <f>A28+1</f>
        <v>17</v>
      </c>
      <c r="B29" t="s">
        <v>711</v>
      </c>
      <c r="G29" s="248">
        <v>0.10249999999999999</v>
      </c>
      <c r="H29" s="58">
        <f>D47/H26</f>
        <v>5.7574130240458619E-2</v>
      </c>
    </row>
    <row r="30" spans="1:9" s="6" customFormat="1" x14ac:dyDescent="0.25">
      <c r="A30" s="16">
        <f>A29+1</f>
        <v>18</v>
      </c>
      <c r="B30" s="6" t="str">
        <f>"Weighted Cost of Capital (Lns. "&amp;A28&amp;" x "&amp;A29&amp;")"</f>
        <v>Weighted Cost of Capital (Lns. 16 x 17)</v>
      </c>
      <c r="G30" s="98">
        <f>G28*G29</f>
        <v>5.1857704284227396E-2</v>
      </c>
      <c r="H30" s="98">
        <f>H28*H29</f>
        <v>2.8445718333811813E-2</v>
      </c>
      <c r="I30" s="99">
        <f>G30+H30</f>
        <v>8.0303422618039216E-2</v>
      </c>
    </row>
    <row r="31" spans="1:9" ht="5.25" customHeight="1" x14ac:dyDescent="0.25">
      <c r="A31" s="14"/>
      <c r="B31" s="5"/>
      <c r="C31" s="5"/>
      <c r="D31" s="5"/>
      <c r="E31" s="5"/>
      <c r="F31" s="5"/>
      <c r="G31" s="5"/>
      <c r="H31" s="5"/>
      <c r="I31" s="5"/>
    </row>
    <row r="32" spans="1:9" ht="5.25" customHeight="1" x14ac:dyDescent="0.25"/>
    <row r="33" spans="1:9" x14ac:dyDescent="0.25">
      <c r="A33" s="22" t="str">
        <f>note</f>
        <v>Notes and Sources:</v>
      </c>
    </row>
    <row r="34" spans="1:9" ht="18.75" x14ac:dyDescent="0.25">
      <c r="A34" s="93">
        <v>1</v>
      </c>
      <c r="B34" s="80" t="str">
        <f>"Unless otherwise stated, source of shaded cells is company input/records. Sources for certain BOY/EOY balances are listed on line "&amp;A11&amp;"."</f>
        <v>Unless otherwise stated, source of shaded cells is company input/records. Sources for certain BOY/EOY balances are listed on line 1.</v>
      </c>
    </row>
    <row r="35" spans="1:9" ht="18.75" x14ac:dyDescent="0.25">
      <c r="A35" s="93">
        <v>2</v>
      </c>
      <c r="B35" s="274" t="s">
        <v>731</v>
      </c>
      <c r="C35" s="274"/>
      <c r="D35" s="274"/>
      <c r="E35" s="274"/>
      <c r="F35" s="274"/>
      <c r="G35" s="274"/>
      <c r="H35" s="274"/>
      <c r="I35" s="274"/>
    </row>
    <row r="36" spans="1:9" ht="15.75" customHeight="1" x14ac:dyDescent="0.25">
      <c r="A36" s="93"/>
      <c r="B36" s="274"/>
      <c r="C36" s="274"/>
      <c r="D36" s="274"/>
      <c r="E36" s="274"/>
      <c r="F36" s="274"/>
      <c r="G36" s="274"/>
      <c r="H36" s="274"/>
      <c r="I36" s="274"/>
    </row>
    <row r="37" spans="1:9" ht="18.75" x14ac:dyDescent="0.25">
      <c r="A37" s="93">
        <v>3</v>
      </c>
      <c r="B37" s="288" t="s">
        <v>1005</v>
      </c>
      <c r="C37" s="288"/>
      <c r="D37" s="288"/>
      <c r="E37" s="288"/>
      <c r="F37" s="288"/>
      <c r="G37" s="288"/>
      <c r="H37" s="288"/>
      <c r="I37" s="288"/>
    </row>
    <row r="38" spans="1:9" ht="15.75" customHeight="1" x14ac:dyDescent="0.25">
      <c r="A38" s="93"/>
      <c r="B38" s="288"/>
      <c r="C38" s="288"/>
      <c r="D38" s="288"/>
      <c r="E38" s="288"/>
      <c r="F38" s="288"/>
      <c r="G38" s="288"/>
      <c r="H38" s="288"/>
      <c r="I38" s="288"/>
    </row>
    <row r="39" spans="1:9" ht="7.5" customHeight="1" x14ac:dyDescent="0.25">
      <c r="A39" s="93"/>
      <c r="B39" s="80"/>
    </row>
    <row r="40" spans="1:9" ht="15.75" customHeight="1" x14ac:dyDescent="0.25">
      <c r="A40" s="93"/>
      <c r="B40" s="12" t="s">
        <v>588</v>
      </c>
    </row>
    <row r="41" spans="1:9" ht="15.75" customHeight="1" x14ac:dyDescent="0.25">
      <c r="A41" s="93"/>
      <c r="B41" s="95" t="str">
        <f>'A1 (FF1 Inputs)'!B27</f>
        <v>Interest on Long-Term Debt (427)</v>
      </c>
      <c r="C41" s="75"/>
      <c r="D41" s="41">
        <f>'A1 (FF1 Inputs)'!E27</f>
        <v>72293195</v>
      </c>
      <c r="E41" s="97" t="str">
        <f>'A1 (FF1 Inputs)'!$E$1&amp;", Ln. "&amp;'A1 (FF1 Inputs)'!A27</f>
        <v>Worksheet A1, Ln. 12</v>
      </c>
    </row>
    <row r="42" spans="1:9" ht="15.75" customHeight="1" x14ac:dyDescent="0.25">
      <c r="A42" s="93"/>
      <c r="B42" s="95" t="str">
        <f>'A1 (FF1 Inputs)'!B28</f>
        <v>Amortization of Debt Discount and Expense (428)</v>
      </c>
      <c r="C42" s="75"/>
      <c r="D42" s="41">
        <f>'A1 (FF1 Inputs)'!E28</f>
        <v>1053566</v>
      </c>
      <c r="E42" s="97" t="str">
        <f>'A1 (FF1 Inputs)'!$E$1&amp;", Ln. "&amp;'A1 (FF1 Inputs)'!A28</f>
        <v>Worksheet A1, Ln. 13</v>
      </c>
    </row>
    <row r="43" spans="1:9" ht="15.75" customHeight="1" x14ac:dyDescent="0.25">
      <c r="A43" s="93"/>
      <c r="B43" s="95" t="str">
        <f>'A1 (FF1 Inputs)'!B29</f>
        <v>Amortization of Loss on Reaquired Debt (428.1)</v>
      </c>
      <c r="C43" s="75"/>
      <c r="D43" s="41">
        <f>'A1 (FF1 Inputs)'!E29</f>
        <v>950256</v>
      </c>
      <c r="E43" s="97" t="str">
        <f>'A1 (FF1 Inputs)'!$E$1&amp;", Ln. "&amp;'A1 (FF1 Inputs)'!A29</f>
        <v>Worksheet A1, Ln. 14</v>
      </c>
    </row>
    <row r="44" spans="1:9" ht="15.75" customHeight="1" x14ac:dyDescent="0.25">
      <c r="A44" s="93"/>
      <c r="B44" s="95" t="str">
        <f>'A1 (FF1 Inputs)'!B30</f>
        <v>Amortization of Premium on Debt-Credit (429)</v>
      </c>
      <c r="C44" s="75"/>
      <c r="D44" s="41">
        <f>'A1 (FF1 Inputs)'!E30</f>
        <v>140496</v>
      </c>
      <c r="E44" s="97" t="str">
        <f>'A1 (FF1 Inputs)'!$E$1&amp;", Ln. "&amp;'A1 (FF1 Inputs)'!A30</f>
        <v>Worksheet A1, Ln. 15</v>
      </c>
    </row>
    <row r="45" spans="1:9" ht="15.75" customHeight="1" x14ac:dyDescent="0.25">
      <c r="A45" s="93"/>
      <c r="B45" s="95" t="str">
        <f>'A1 (FF1 Inputs)'!B31</f>
        <v>Amortization of Gain on Reaquired Debt-Credit (429.1)</v>
      </c>
      <c r="C45" s="75"/>
      <c r="D45" s="41">
        <f>'A1 (FF1 Inputs)'!E31</f>
        <v>0</v>
      </c>
      <c r="E45" s="97" t="str">
        <f>'A1 (FF1 Inputs)'!$E$1&amp;", Ln. "&amp;'A1 (FF1 Inputs)'!A31</f>
        <v>Worksheet A1, Ln. 16</v>
      </c>
    </row>
    <row r="46" spans="1:9" ht="15.75" customHeight="1" x14ac:dyDescent="0.25">
      <c r="A46" s="93"/>
      <c r="B46" s="94" t="str">
        <f>'A1 (FF1 Inputs)'!B32</f>
        <v>Interest on Debt to Associated Companies (430)</v>
      </c>
      <c r="D46" s="10">
        <f>'A1 (FF1 Inputs)'!E32</f>
        <v>0</v>
      </c>
      <c r="E46" s="97" t="str">
        <f>'A1 (FF1 Inputs)'!$E$1&amp;", Ln. "&amp;'A1 (FF1 Inputs)'!A32</f>
        <v>Worksheet A1, Ln. 17</v>
      </c>
    </row>
    <row r="47" spans="1:9" ht="15.75" customHeight="1" x14ac:dyDescent="0.25">
      <c r="A47" s="93"/>
      <c r="B47" s="96" t="s">
        <v>712</v>
      </c>
      <c r="C47" s="50"/>
      <c r="D47" s="19">
        <f>D41+D42+D43-D44-D45+D46</f>
        <v>74156521</v>
      </c>
      <c r="E47" s="97" t="s">
        <v>728</v>
      </c>
    </row>
    <row r="48" spans="1:9" ht="5.25" customHeight="1" thickBot="1" x14ac:dyDescent="0.3">
      <c r="A48" s="24"/>
      <c r="B48" s="4"/>
      <c r="C48" s="4"/>
      <c r="D48" s="4"/>
      <c r="E48" s="4"/>
      <c r="F48" s="4"/>
      <c r="G48" s="4"/>
      <c r="H48" s="4"/>
      <c r="I48" s="4"/>
    </row>
    <row r="49" ht="5.25" customHeight="1" thickTop="1" x14ac:dyDescent="0.25"/>
  </sheetData>
  <mergeCells count="2">
    <mergeCell ref="B35:I36"/>
    <mergeCell ref="B37:I38"/>
  </mergeCells>
  <pageMargins left="0.7" right="0.7" top="0.75" bottom="0.75" header="0.3" footer="0.3"/>
  <pageSetup scale="71" orientation="landscape" horizontalDpi="1200" verticalDpi="1200" r:id="rId1"/>
  <headerFooter>
    <oddFooter>&amp;L&amp;6{W0327924.2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H29"/>
  <sheetViews>
    <sheetView workbookViewId="0"/>
  </sheetViews>
  <sheetFormatPr defaultRowHeight="13.5" customHeight="1" x14ac:dyDescent="0.25"/>
  <cols>
    <col min="1" max="1" width="5" style="1" customWidth="1"/>
    <col min="2" max="2" width="43.125" customWidth="1"/>
    <col min="3" max="3" width="62.25" customWidth="1"/>
    <col min="4" max="8" width="12.625" customWidth="1"/>
  </cols>
  <sheetData>
    <row r="1" spans="1:8" ht="13.5" customHeight="1" x14ac:dyDescent="0.25">
      <c r="A1" s="6" t="str">
        <f>epe</f>
        <v>El Paso Electric Company</v>
      </c>
      <c r="H1" s="8" t="s">
        <v>628</v>
      </c>
    </row>
    <row r="2" spans="1:8" ht="13.5" customHeight="1" x14ac:dyDescent="0.25">
      <c r="A2" t="str">
        <f>frta</f>
        <v>Formula Rate Template (Actuals)</v>
      </c>
    </row>
    <row r="3" spans="1:8" ht="13.5" customHeight="1" x14ac:dyDescent="0.25">
      <c r="A3" t="s">
        <v>978</v>
      </c>
    </row>
    <row r="4" spans="1:8" ht="13.5" customHeight="1" x14ac:dyDescent="0.25">
      <c r="A4" t="str">
        <f>"12 Months Ended December 31, "&amp;YEAR('A1 (FF1 Inputs)'!$E$12)</f>
        <v>12 Months Ended December 31, 2020</v>
      </c>
    </row>
    <row r="5" spans="1:8" ht="13.5" customHeight="1" thickBot="1" x14ac:dyDescent="0.3">
      <c r="A5" s="4"/>
      <c r="B5" s="4"/>
      <c r="C5" s="4"/>
      <c r="D5" s="4"/>
      <c r="E5" s="4"/>
      <c r="F5" s="4"/>
      <c r="G5" s="4"/>
      <c r="H5" s="4"/>
    </row>
    <row r="6" spans="1:8" ht="13.5" customHeight="1" thickTop="1" x14ac:dyDescent="0.25">
      <c r="A6"/>
    </row>
    <row r="7" spans="1:8" s="40" customFormat="1" ht="13.5" customHeight="1" x14ac:dyDescent="0.25">
      <c r="A7" s="267" t="str">
        <f>ln</f>
        <v>Line No.</v>
      </c>
      <c r="B7" s="40" t="str">
        <f>des</f>
        <v>Description</v>
      </c>
      <c r="C7" s="40" t="s">
        <v>566</v>
      </c>
      <c r="D7" s="40" t="s">
        <v>537</v>
      </c>
      <c r="E7" s="40" t="s">
        <v>538</v>
      </c>
      <c r="F7" s="40" t="s">
        <v>541</v>
      </c>
      <c r="G7" s="40" t="s">
        <v>546</v>
      </c>
      <c r="H7" s="40" t="s">
        <v>283</v>
      </c>
    </row>
    <row r="8" spans="1:8" s="1" customFormat="1" ht="13.5" customHeight="1" x14ac:dyDescent="0.25">
      <c r="A8" s="267"/>
      <c r="B8" s="2" t="s">
        <v>7</v>
      </c>
      <c r="C8" s="176" t="s">
        <v>8</v>
      </c>
      <c r="D8" s="2" t="s">
        <v>9</v>
      </c>
      <c r="E8" s="1" t="s">
        <v>10</v>
      </c>
      <c r="F8" s="1" t="s">
        <v>11</v>
      </c>
      <c r="G8" s="1" t="s">
        <v>12</v>
      </c>
      <c r="H8" s="1" t="s">
        <v>91</v>
      </c>
    </row>
    <row r="9" spans="1:8" ht="13.5" customHeight="1" x14ac:dyDescent="0.25">
      <c r="A9" s="5"/>
      <c r="B9" s="5"/>
      <c r="C9" s="5"/>
      <c r="D9" s="5"/>
      <c r="E9" s="5"/>
      <c r="F9" s="5"/>
      <c r="G9" s="5"/>
      <c r="H9" s="5"/>
    </row>
    <row r="10" spans="1:8" ht="13.5" customHeight="1" x14ac:dyDescent="0.25">
      <c r="A10"/>
    </row>
    <row r="11" spans="1:8" ht="15.75" customHeight="1" x14ac:dyDescent="0.25">
      <c r="A11" s="1">
        <v>1</v>
      </c>
      <c r="B11" t="s">
        <v>1041</v>
      </c>
      <c r="C11" s="175" t="s">
        <v>708</v>
      </c>
      <c r="D11" s="59">
        <v>0.21</v>
      </c>
      <c r="E11" s="59">
        <v>5.8999999999999997E-2</v>
      </c>
      <c r="F11" s="59">
        <v>4.9000000000000002E-2</v>
      </c>
      <c r="G11" s="59">
        <v>7.4999999999999997E-3</v>
      </c>
      <c r="H11" s="60"/>
    </row>
    <row r="12" spans="1:8" ht="7.35" customHeight="1" x14ac:dyDescent="0.25">
      <c r="C12" s="191"/>
      <c r="D12" s="61"/>
      <c r="E12" s="61"/>
      <c r="F12" s="61"/>
      <c r="G12" s="61"/>
      <c r="H12" s="60"/>
    </row>
    <row r="13" spans="1:8" ht="15.75" customHeight="1" x14ac:dyDescent="0.25">
      <c r="A13" s="1">
        <f>A11+1</f>
        <v>2</v>
      </c>
      <c r="B13" t="s">
        <v>709</v>
      </c>
      <c r="C13" t="str">
        <f>"-1.0 x Sum (Ln. "&amp;A17&amp;", Cols. "&amp;E8&amp;", "&amp;F8&amp;", and "&amp;G8&amp;") x Ln. "&amp;A11&amp;", Col. "&amp;D8</f>
        <v>-1.0 x Sum (Ln. 4, Cols. [d], [e], and [f]) x Ln. 1, Col. [c]</v>
      </c>
      <c r="D13" s="61">
        <f>-SUM(E17:G17)*D11</f>
        <v>-3.7208650499999996E-3</v>
      </c>
      <c r="E13" s="61"/>
      <c r="F13" s="61"/>
      <c r="G13" s="61"/>
      <c r="H13" s="60"/>
    </row>
    <row r="14" spans="1:8" ht="7.35" customHeight="1" x14ac:dyDescent="0.25">
      <c r="D14" s="60"/>
      <c r="E14" s="60"/>
      <c r="F14" s="60"/>
      <c r="G14" s="60"/>
      <c r="H14" s="60"/>
    </row>
    <row r="15" spans="1:8" ht="15.75" customHeight="1" x14ac:dyDescent="0.25">
      <c r="A15" s="1">
        <f>A13+1</f>
        <v>3</v>
      </c>
      <c r="B15" t="s">
        <v>1042</v>
      </c>
      <c r="C15" t="s">
        <v>309</v>
      </c>
      <c r="D15" s="60"/>
      <c r="E15" s="59">
        <v>0.18723500000000001</v>
      </c>
      <c r="F15" s="59">
        <v>3.1460000000000002E-2</v>
      </c>
      <c r="G15" s="59">
        <v>0.68400000000000005</v>
      </c>
      <c r="H15" s="61"/>
    </row>
    <row r="16" spans="1:8" ht="7.5" customHeight="1" x14ac:dyDescent="0.25">
      <c r="D16" s="60"/>
      <c r="E16" s="60"/>
      <c r="F16" s="60"/>
      <c r="G16" s="60"/>
      <c r="H16" s="61"/>
    </row>
    <row r="17" spans="1:8" ht="18.75" customHeight="1" x14ac:dyDescent="0.25">
      <c r="A17" s="1">
        <f>A15+1</f>
        <v>4</v>
      </c>
      <c r="B17" t="s">
        <v>1043</v>
      </c>
      <c r="C17" t="str">
        <f>"Lns. ("&amp;A11&amp;" x "&amp;A15&amp;")"</f>
        <v>Lns. (1 x 3)</v>
      </c>
      <c r="D17" s="60">
        <f>D11+D13</f>
        <v>0.20627913495</v>
      </c>
      <c r="E17" s="60">
        <f>E11*E15</f>
        <v>1.1046864999999999E-2</v>
      </c>
      <c r="F17" s="60">
        <f t="shared" ref="F17:G17" si="0">F11*F15</f>
        <v>1.5415400000000001E-3</v>
      </c>
      <c r="G17" s="60">
        <f t="shared" si="0"/>
        <v>5.13E-3</v>
      </c>
      <c r="H17" s="91">
        <f>SUM(D17:G17)</f>
        <v>0.22399753994999999</v>
      </c>
    </row>
    <row r="18" spans="1:8" ht="7.5" customHeight="1" x14ac:dyDescent="0.25">
      <c r="D18" s="60"/>
      <c r="E18" s="60"/>
      <c r="F18" s="60"/>
      <c r="G18" s="60"/>
      <c r="H18" s="91"/>
    </row>
    <row r="19" spans="1:8" ht="15.75" customHeight="1" x14ac:dyDescent="0.25">
      <c r="A19" s="1">
        <f>A17+1</f>
        <v>5</v>
      </c>
      <c r="B19" t="s">
        <v>569</v>
      </c>
      <c r="C19" s="225" t="str">
        <f>"Ln. "&amp;A17&amp;", Col. "&amp;H8&amp;" less Ln. "&amp;A17&amp;", Col. "&amp;D8</f>
        <v>Ln. 4, Col. [g] less Ln. 4, Col. [c]</v>
      </c>
      <c r="D19" s="226"/>
      <c r="E19" s="226"/>
      <c r="F19" s="226"/>
      <c r="G19" s="226"/>
      <c r="H19" s="226">
        <f>+H17-D17</f>
        <v>1.7718404999999993E-2</v>
      </c>
    </row>
    <row r="20" spans="1:8" ht="7.5" customHeight="1" x14ac:dyDescent="0.25">
      <c r="D20" s="60"/>
      <c r="E20" s="60"/>
      <c r="F20" s="60"/>
      <c r="G20" s="60"/>
      <c r="H20" s="61"/>
    </row>
    <row r="21" spans="1:8" ht="15.75" customHeight="1" x14ac:dyDescent="0.25">
      <c r="A21" s="1">
        <f t="shared" ref="A21" si="1">A19+1</f>
        <v>6</v>
      </c>
      <c r="B21" t="s">
        <v>568</v>
      </c>
      <c r="C21" t="str">
        <f>"Lns. ("&amp;A17&amp;" - "&amp;A19&amp;")"</f>
        <v>Lns. (4 - 5)</v>
      </c>
      <c r="E21" s="60"/>
      <c r="F21" s="60"/>
      <c r="G21" s="60"/>
      <c r="H21" s="61">
        <f>H17-H19</f>
        <v>0.20627913495</v>
      </c>
    </row>
    <row r="22" spans="1:8" ht="7.5" customHeight="1" x14ac:dyDescent="0.25">
      <c r="D22" s="60"/>
      <c r="E22" s="60"/>
      <c r="F22" s="60"/>
      <c r="G22" s="60"/>
      <c r="H22" s="61"/>
    </row>
    <row r="23" spans="1:8" ht="15.75" customHeight="1" x14ac:dyDescent="0.25">
      <c r="A23" s="1">
        <f t="shared" ref="A23:A25" si="2">A21+1</f>
        <v>7</v>
      </c>
      <c r="B23" t="s">
        <v>567</v>
      </c>
      <c r="C23" t="s">
        <v>309</v>
      </c>
      <c r="D23" s="60"/>
      <c r="E23" s="60"/>
      <c r="F23" s="60"/>
      <c r="H23" s="59">
        <v>0</v>
      </c>
    </row>
    <row r="24" spans="1:8" ht="7.5" customHeight="1" x14ac:dyDescent="0.25">
      <c r="D24" s="60"/>
      <c r="E24" s="60"/>
      <c r="F24" s="60"/>
      <c r="H24" s="61"/>
    </row>
    <row r="25" spans="1:8" ht="15.75" customHeight="1" x14ac:dyDescent="0.25">
      <c r="A25" s="1">
        <f t="shared" si="2"/>
        <v>8</v>
      </c>
      <c r="B25" t="s">
        <v>570</v>
      </c>
      <c r="C25" t="str">
        <f>"(Ln. "&amp;A21&amp;" x (1.0 - Ln. "&amp;A19&amp;") + Ln. "&amp;A19&amp;" x (1.0 - Ln. "&amp;A21&amp;" x Ln. "&amp;A23&amp;")) / (1.0 - Lns. ("&amp;A19&amp;" x "&amp;A21&amp;" x "&amp;A23&amp;"))"</f>
        <v>(Ln. 6 x (1.0 - Ln. 5) + Ln. 5 x (1.0 - Ln. 6 x Ln. 7)) / (1.0 - Lns. (5 x 6 x 7))</v>
      </c>
      <c r="D25" s="60"/>
      <c r="E25" s="60"/>
      <c r="F25" s="60"/>
      <c r="H25" s="91">
        <f>(H21*(1-H19)+H19*(1-H21*H23))/(1-H19*H21*H23)</f>
        <v>0.22034260269390624</v>
      </c>
    </row>
    <row r="26" spans="1:8" ht="5.25" customHeight="1" x14ac:dyDescent="0.25">
      <c r="A26" s="14"/>
      <c r="B26" s="5"/>
      <c r="C26" s="5"/>
      <c r="D26" s="5"/>
      <c r="E26" s="5"/>
      <c r="F26" s="5"/>
      <c r="G26" s="5"/>
      <c r="H26" s="5"/>
    </row>
    <row r="27" spans="1:8" ht="5.25" customHeight="1" x14ac:dyDescent="0.25"/>
    <row r="28" spans="1:8" ht="13.5" customHeight="1" x14ac:dyDescent="0.25">
      <c r="A28" s="22" t="str">
        <f>note</f>
        <v>Notes and Sources:</v>
      </c>
    </row>
    <row r="29" spans="1:8" ht="18.75" customHeight="1" x14ac:dyDescent="0.25">
      <c r="A29" s="23">
        <v>1</v>
      </c>
      <c r="B29" t="str">
        <f>"Federal effective rate (column "&amp;D8&amp;") equals the sum on lines "&amp;A11&amp;" and "&amp;A13&amp;". Total effective rate equals the sum of line "&amp;A17&amp;", columns "&amp;D8&amp;" through "&amp;G8&amp;"."</f>
        <v>Federal effective rate (column [c]) equals the sum on lines 1 and 2. Total effective rate equals the sum of line 4, columns [c] through [f].</v>
      </c>
    </row>
  </sheetData>
  <mergeCells count="1">
    <mergeCell ref="A7:A8"/>
  </mergeCells>
  <hyperlinks>
    <hyperlink ref="C11" r:id="rId1"/>
  </hyperlinks>
  <pageMargins left="0.7" right="0.7" top="0.75" bottom="0.75" header="0.3" footer="0.3"/>
  <pageSetup scale="66" orientation="landscape" horizontalDpi="1200" verticalDpi="1200" r:id="rId2"/>
  <headerFooter>
    <oddFooter>&amp;L&amp;6{W0327924.2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G46"/>
  <sheetViews>
    <sheetView workbookViewId="0"/>
  </sheetViews>
  <sheetFormatPr defaultRowHeight="15.75" x14ac:dyDescent="0.25"/>
  <cols>
    <col min="1" max="1" width="5" style="1" customWidth="1"/>
    <col min="2" max="2" width="59.25" customWidth="1"/>
    <col min="3" max="3" width="15.625" customWidth="1"/>
    <col min="4" max="4" width="7.5" customWidth="1"/>
    <col min="5" max="5" width="7.75" customWidth="1"/>
    <col min="6" max="6" width="15.625" customWidth="1"/>
    <col min="7" max="7" width="74.75" bestFit="1" customWidth="1"/>
  </cols>
  <sheetData>
    <row r="1" spans="1:7" x14ac:dyDescent="0.25">
      <c r="A1" s="6" t="str">
        <f>epe</f>
        <v>El Paso Electric Company</v>
      </c>
      <c r="G1" s="8" t="s">
        <v>704</v>
      </c>
    </row>
    <row r="2" spans="1:7" x14ac:dyDescent="0.25">
      <c r="A2" t="str">
        <f>frta</f>
        <v>Formula Rate Template (Actuals)</v>
      </c>
    </row>
    <row r="3" spans="1:7" x14ac:dyDescent="0.25">
      <c r="A3" t="s">
        <v>612</v>
      </c>
    </row>
    <row r="4" spans="1:7" x14ac:dyDescent="0.25">
      <c r="A4" t="str">
        <f>"12 Months Ended December 31, "&amp;YEAR('A1 (FF1 Inputs)'!$E$12)</f>
        <v>12 Months Ended December 31, 2020</v>
      </c>
    </row>
    <row r="5" spans="1:7" ht="5.25" customHeight="1" thickBot="1" x14ac:dyDescent="0.3">
      <c r="A5" s="4"/>
      <c r="B5" s="4"/>
      <c r="C5" s="4"/>
      <c r="D5" s="4"/>
      <c r="E5" s="4"/>
      <c r="F5" s="4"/>
      <c r="G5" s="4"/>
    </row>
    <row r="6" spans="1:7" ht="5.25" customHeight="1" thickTop="1" x14ac:dyDescent="0.25">
      <c r="A6"/>
    </row>
    <row r="7" spans="1:7" s="40" customFormat="1" x14ac:dyDescent="0.25">
      <c r="A7" s="267" t="str">
        <f>ln</f>
        <v>Line No.</v>
      </c>
      <c r="B7" s="278" t="str">
        <f>des</f>
        <v>Description</v>
      </c>
      <c r="C7" s="278" t="s">
        <v>4</v>
      </c>
      <c r="D7" s="270" t="s">
        <v>393</v>
      </c>
      <c r="E7" s="270"/>
      <c r="F7" s="278" t="s">
        <v>613</v>
      </c>
      <c r="G7" s="278" t="s">
        <v>680</v>
      </c>
    </row>
    <row r="8" spans="1:7" s="40" customFormat="1" x14ac:dyDescent="0.25">
      <c r="A8" s="267"/>
      <c r="B8" s="278"/>
      <c r="C8" s="278"/>
      <c r="D8" s="3" t="s">
        <v>5</v>
      </c>
      <c r="E8" s="3" t="s">
        <v>6</v>
      </c>
      <c r="F8" s="278"/>
      <c r="G8" s="278"/>
    </row>
    <row r="9" spans="1:7" s="1" customFormat="1" x14ac:dyDescent="0.25">
      <c r="A9" s="267"/>
      <c r="B9" s="2" t="s">
        <v>7</v>
      </c>
      <c r="C9" s="2" t="s">
        <v>8</v>
      </c>
      <c r="D9" s="2" t="s">
        <v>9</v>
      </c>
      <c r="E9" s="2" t="s">
        <v>10</v>
      </c>
      <c r="F9" s="1" t="s">
        <v>11</v>
      </c>
      <c r="G9" s="1" t="s">
        <v>12</v>
      </c>
    </row>
    <row r="10" spans="1:7" ht="5.25" customHeight="1" x14ac:dyDescent="0.25">
      <c r="A10" s="5"/>
      <c r="B10" s="5"/>
      <c r="C10" s="5"/>
      <c r="D10" s="5"/>
      <c r="E10" s="5"/>
      <c r="F10" s="5"/>
      <c r="G10" s="5"/>
    </row>
    <row r="11" spans="1:7" ht="5.25" customHeight="1" x14ac:dyDescent="0.25">
      <c r="A11"/>
    </row>
    <row r="12" spans="1:7" ht="18.75" x14ac:dyDescent="0.25">
      <c r="A12" s="287" t="s">
        <v>721</v>
      </c>
      <c r="B12" s="287"/>
      <c r="C12" s="287"/>
      <c r="D12" s="50"/>
      <c r="E12" s="50"/>
      <c r="F12" s="50"/>
      <c r="G12" s="50"/>
    </row>
    <row r="13" spans="1:7" x14ac:dyDescent="0.25">
      <c r="A13" s="31" t="s">
        <v>411</v>
      </c>
      <c r="B13" s="46" t="s">
        <v>485</v>
      </c>
      <c r="C13" s="37">
        <v>-29201</v>
      </c>
      <c r="D13" s="31" t="s">
        <v>333</v>
      </c>
      <c r="E13" s="45">
        <f>IFERROR(VLOOKUP(D13,'A22 (Allocation Factors)'!$D:$F,3,0),0)</f>
        <v>0.12132411580047649</v>
      </c>
      <c r="F13" s="41">
        <f>C13*E13</f>
        <v>-3542.7855054897141</v>
      </c>
      <c r="G13" s="46" t="s">
        <v>770</v>
      </c>
    </row>
    <row r="14" spans="1:7" x14ac:dyDescent="0.25">
      <c r="A14" s="31" t="s">
        <v>412</v>
      </c>
      <c r="B14" s="46" t="s">
        <v>1047</v>
      </c>
      <c r="C14" s="37">
        <v>93305</v>
      </c>
      <c r="D14" s="31" t="s">
        <v>29</v>
      </c>
      <c r="E14" s="45">
        <f>IFERROR(VLOOKUP(D14,'A22 (Allocation Factors)'!$D:$F,3,0),0)</f>
        <v>0</v>
      </c>
      <c r="F14" s="41">
        <f t="shared" ref="F14:F21" si="0">C14*E14</f>
        <v>0</v>
      </c>
      <c r="G14" s="46" t="s">
        <v>1050</v>
      </c>
    </row>
    <row r="15" spans="1:7" x14ac:dyDescent="0.25">
      <c r="A15" s="31" t="s">
        <v>413</v>
      </c>
      <c r="B15" s="46" t="s">
        <v>1048</v>
      </c>
      <c r="C15" s="37">
        <v>143489</v>
      </c>
      <c r="D15" s="31" t="s">
        <v>29</v>
      </c>
      <c r="E15" s="45">
        <f>IFERROR(VLOOKUP(D15,'A22 (Allocation Factors)'!$D:$F,3,0),0)</f>
        <v>0</v>
      </c>
      <c r="F15" s="41">
        <f t="shared" si="0"/>
        <v>0</v>
      </c>
      <c r="G15" s="46" t="s">
        <v>1051</v>
      </c>
    </row>
    <row r="16" spans="1:7" x14ac:dyDescent="0.25">
      <c r="A16" s="31" t="s">
        <v>456</v>
      </c>
      <c r="B16" s="46" t="s">
        <v>1049</v>
      </c>
      <c r="C16" s="37">
        <v>1915912</v>
      </c>
      <c r="D16" s="31" t="s">
        <v>29</v>
      </c>
      <c r="E16" s="45">
        <f>IFERROR(VLOOKUP(D16,'A22 (Allocation Factors)'!$D:$F,3,0),0)</f>
        <v>0</v>
      </c>
      <c r="F16" s="41">
        <f t="shared" si="0"/>
        <v>0</v>
      </c>
      <c r="G16" s="46" t="s">
        <v>1052</v>
      </c>
    </row>
    <row r="17" spans="1:7" x14ac:dyDescent="0.25">
      <c r="A17" s="31" t="s">
        <v>457</v>
      </c>
      <c r="B17" s="46" t="s">
        <v>614</v>
      </c>
      <c r="C17" s="37">
        <v>638093</v>
      </c>
      <c r="D17" s="31" t="s">
        <v>288</v>
      </c>
      <c r="E17" s="45">
        <f>IFERROR(VLOOKUP(D17,'A22 (Allocation Factors)'!$D:$F,3,0),0)</f>
        <v>0.20882221657345243</v>
      </c>
      <c r="F17" s="41">
        <f t="shared" si="0"/>
        <v>133247.99464000398</v>
      </c>
      <c r="G17" s="46" t="s">
        <v>718</v>
      </c>
    </row>
    <row r="18" spans="1:7" x14ac:dyDescent="0.25">
      <c r="A18" s="31" t="s">
        <v>458</v>
      </c>
      <c r="B18" s="46" t="s">
        <v>615</v>
      </c>
      <c r="C18" s="37">
        <v>-1533272</v>
      </c>
      <c r="D18" s="31" t="s">
        <v>288</v>
      </c>
      <c r="E18" s="45">
        <f>IFERROR(VLOOKUP(D18,'A22 (Allocation Factors)'!$D:$F,3,0),0)</f>
        <v>0.20882221657345243</v>
      </c>
      <c r="F18" s="41">
        <f t="shared" si="0"/>
        <v>-320181.25765001058</v>
      </c>
      <c r="G18" s="46" t="s">
        <v>719</v>
      </c>
    </row>
    <row r="19" spans="1:7" x14ac:dyDescent="0.25">
      <c r="A19" s="31" t="s">
        <v>459</v>
      </c>
      <c r="B19" s="46" t="s">
        <v>723</v>
      </c>
      <c r="C19" s="37">
        <v>-93033</v>
      </c>
      <c r="D19" s="31" t="s">
        <v>288</v>
      </c>
      <c r="E19" s="45">
        <f>IFERROR(VLOOKUP(D19,'A22 (Allocation Factors)'!$D:$F,3,0),0)</f>
        <v>0.20882221657345243</v>
      </c>
      <c r="F19" s="41">
        <f t="shared" si="0"/>
        <v>-19427.357274477999</v>
      </c>
      <c r="G19" s="46" t="s">
        <v>720</v>
      </c>
    </row>
    <row r="20" spans="1:7" x14ac:dyDescent="0.25">
      <c r="A20" s="31" t="s">
        <v>357</v>
      </c>
      <c r="B20" s="46" t="s">
        <v>357</v>
      </c>
      <c r="C20" s="37"/>
      <c r="D20" s="31"/>
      <c r="E20" s="45">
        <f>IFERROR(VLOOKUP(D20,'A22 (Allocation Factors)'!$D:$F,3,0),0)</f>
        <v>0</v>
      </c>
      <c r="F20" s="41">
        <f t="shared" si="0"/>
        <v>0</v>
      </c>
      <c r="G20" s="46"/>
    </row>
    <row r="21" spans="1:7" x14ac:dyDescent="0.25">
      <c r="A21" s="100" t="s">
        <v>478</v>
      </c>
      <c r="B21" s="48" t="s">
        <v>357</v>
      </c>
      <c r="C21" s="20"/>
      <c r="D21" s="73"/>
      <c r="E21" s="45">
        <f>IFERROR(VLOOKUP(D21,'A22 (Allocation Factors)'!$D:$F,3,0),0)</f>
        <v>0</v>
      </c>
      <c r="F21" s="41">
        <f t="shared" si="0"/>
        <v>0</v>
      </c>
      <c r="G21" s="48"/>
    </row>
    <row r="22" spans="1:7" s="6" customFormat="1" x14ac:dyDescent="0.25">
      <c r="A22" s="88">
        <v>2</v>
      </c>
      <c r="B22" s="89" t="str">
        <f>"Total Permanent Book-Tax Differences (Sum Lns. "&amp;A13&amp;" through "&amp;A21&amp;")"</f>
        <v>Total Permanent Book-Tax Differences (Sum Lns. 1a through 1zz)</v>
      </c>
      <c r="C22" s="90">
        <f>SUM(C13:C21)</f>
        <v>1135293</v>
      </c>
      <c r="D22" s="90"/>
      <c r="E22" s="90"/>
      <c r="F22" s="90">
        <f>SUM(F13:F21)</f>
        <v>-209903.40578997432</v>
      </c>
      <c r="G22" s="90"/>
    </row>
    <row r="24" spans="1:7" x14ac:dyDescent="0.25">
      <c r="A24" s="1">
        <v>3</v>
      </c>
      <c r="B24" s="15" t="s">
        <v>616</v>
      </c>
      <c r="C24" s="37">
        <v>274824</v>
      </c>
      <c r="D24" s="31" t="s">
        <v>333</v>
      </c>
      <c r="E24" s="45">
        <f>IFERROR(VLOOKUP(D24,'A22 (Allocation Factors)'!$D:$F,3,0),0)</f>
        <v>0.12132411580047649</v>
      </c>
      <c r="F24" s="41">
        <f t="shared" ref="F24" si="1">C24*E24</f>
        <v>33342.778800750151</v>
      </c>
      <c r="G24" s="46" t="s">
        <v>724</v>
      </c>
    </row>
    <row r="25" spans="1:7" x14ac:dyDescent="0.25">
      <c r="B25" s="15"/>
      <c r="C25" s="10"/>
    </row>
    <row r="26" spans="1:7" x14ac:dyDescent="0.25">
      <c r="A26" s="1">
        <f>A24+1</f>
        <v>4</v>
      </c>
      <c r="B26" s="15" t="str">
        <f>"Total Permanent Differences (Lns. ("&amp;A22&amp;" + "&amp;A24&amp;"))"</f>
        <v>Total Permanent Differences (Lns. (2 + 3))</v>
      </c>
      <c r="C26" s="10">
        <f>C22+C24</f>
        <v>1410117</v>
      </c>
      <c r="F26" s="10">
        <f>F22+F24</f>
        <v>-176560.62698922417</v>
      </c>
    </row>
    <row r="27" spans="1:7" ht="18.75" x14ac:dyDescent="0.25">
      <c r="A27" s="1">
        <f>A26+1</f>
        <v>5</v>
      </c>
      <c r="B27" s="15" t="s">
        <v>722</v>
      </c>
      <c r="C27" s="227">
        <f>'A19 (Income Tax Rates)'!$H$21</f>
        <v>0.20627913495</v>
      </c>
      <c r="F27" s="227">
        <f>'A19 (Income Tax Rates)'!$H$21</f>
        <v>0.20627913495</v>
      </c>
    </row>
    <row r="28" spans="1:7" x14ac:dyDescent="0.25">
      <c r="A28" s="1">
        <f>A27+1</f>
        <v>6</v>
      </c>
      <c r="B28" s="15" t="str">
        <f>"Permanent Differences Grossed-Up (Lns. ("&amp;A26&amp;" / "&amp;A27&amp;"))"</f>
        <v>Permanent Differences Grossed-Up (Lns. (4 / 5))</v>
      </c>
      <c r="C28" s="10">
        <f>C26/C27</f>
        <v>6835965.2581527373</v>
      </c>
      <c r="F28" s="10">
        <f>F26/F27</f>
        <v>-855930.61572621344</v>
      </c>
    </row>
    <row r="29" spans="1:7" x14ac:dyDescent="0.25">
      <c r="B29" s="15"/>
      <c r="C29" s="10"/>
      <c r="F29" s="10"/>
    </row>
    <row r="30" spans="1:7" ht="18.75" x14ac:dyDescent="0.25">
      <c r="A30" s="1">
        <f>A28+1</f>
        <v>7</v>
      </c>
      <c r="B30" s="15" t="s">
        <v>725</v>
      </c>
      <c r="C30" s="37">
        <v>-233674</v>
      </c>
      <c r="D30" s="31" t="s">
        <v>333</v>
      </c>
      <c r="E30" s="45">
        <f>IFERROR(VLOOKUP(D30,'A22 (Allocation Factors)'!$D:$F,3,0),0)</f>
        <v>0.12132411580047649</v>
      </c>
      <c r="F30" s="41">
        <f>C30*E30</f>
        <v>-28350.291435560543</v>
      </c>
      <c r="G30" s="46" t="s">
        <v>726</v>
      </c>
    </row>
    <row r="31" spans="1:7" x14ac:dyDescent="0.25">
      <c r="B31" s="15"/>
      <c r="C31" s="10"/>
      <c r="D31" s="1"/>
      <c r="E31" s="74"/>
      <c r="F31" s="10"/>
      <c r="G31" s="15"/>
    </row>
    <row r="32" spans="1:7" x14ac:dyDescent="0.25">
      <c r="A32" s="1">
        <f t="shared" ref="A32" si="2">A30+1</f>
        <v>8</v>
      </c>
      <c r="B32" s="15" t="str">
        <f>"Net Permanent Differences (Lns. ("&amp;A28&amp;" + "&amp;A30&amp;"))"</f>
        <v>Net Permanent Differences (Lns. (6 + 7))</v>
      </c>
      <c r="C32" s="10">
        <f>C28+C30</f>
        <v>6602291.2581527373</v>
      </c>
      <c r="F32" s="10">
        <f>F28+F30</f>
        <v>-884280.907161774</v>
      </c>
    </row>
    <row r="33" spans="1:7" ht="5.25" customHeight="1" x14ac:dyDescent="0.25">
      <c r="A33" s="14"/>
      <c r="B33" s="5"/>
      <c r="C33" s="5"/>
      <c r="D33" s="5"/>
      <c r="E33" s="5"/>
      <c r="F33" s="5"/>
      <c r="G33" s="5"/>
    </row>
    <row r="34" spans="1:7" ht="5.25" customHeight="1" x14ac:dyDescent="0.25"/>
    <row r="35" spans="1:7" x14ac:dyDescent="0.25">
      <c r="A35" s="22" t="str">
        <f>note</f>
        <v>Notes and Sources:</v>
      </c>
    </row>
    <row r="36" spans="1:7" ht="18.75" x14ac:dyDescent="0.25">
      <c r="A36" s="23">
        <v>1</v>
      </c>
      <c r="B36" s="274" t="str">
        <f>"Unless otherwise stated, source of shaded cells is company input/records. Lines "&amp;A13&amp;" through "&amp;A21&amp;" represent adjustable lines that may be expanded/compressed on an annual basis to provide for a sufficient breakout of permanent differences."</f>
        <v>Unless otherwise stated, source of shaded cells is company input/records. Lines 1a through 1zz represent adjustable lines that may be expanded/compressed on an annual basis to provide for a sufficient breakout of permanent differences.</v>
      </c>
      <c r="C36" s="274"/>
      <c r="D36" s="274"/>
      <c r="E36" s="274"/>
      <c r="F36" s="274"/>
      <c r="G36" s="274"/>
    </row>
    <row r="37" spans="1:7" ht="18.75" customHeight="1" x14ac:dyDescent="0.25">
      <c r="A37" s="23">
        <v>2</v>
      </c>
      <c r="B37" s="274" t="s">
        <v>1030</v>
      </c>
      <c r="C37" s="274"/>
      <c r="D37" s="274"/>
      <c r="E37" s="274"/>
      <c r="F37" s="274"/>
      <c r="G37" s="274"/>
    </row>
    <row r="38" spans="1:7" ht="15.75" customHeight="1" x14ac:dyDescent="0.25">
      <c r="A38" s="23"/>
      <c r="B38" s="274"/>
      <c r="C38" s="274"/>
      <c r="D38" s="274"/>
      <c r="E38" s="274"/>
      <c r="F38" s="274"/>
      <c r="G38" s="274"/>
    </row>
    <row r="39" spans="1:7" ht="15.75" customHeight="1" x14ac:dyDescent="0.25">
      <c r="A39" s="23"/>
      <c r="B39" s="274"/>
      <c r="C39" s="274"/>
      <c r="D39" s="274"/>
      <c r="E39" s="274"/>
      <c r="F39" s="274"/>
      <c r="G39" s="274"/>
    </row>
    <row r="40" spans="1:7" ht="15.75" customHeight="1" x14ac:dyDescent="0.25">
      <c r="A40" s="23"/>
      <c r="B40" s="274"/>
      <c r="C40" s="274"/>
      <c r="D40" s="274"/>
      <c r="E40" s="274"/>
      <c r="F40" s="274"/>
      <c r="G40" s="274"/>
    </row>
    <row r="41" spans="1:7" ht="18.75" x14ac:dyDescent="0.25">
      <c r="A41" s="23">
        <v>3</v>
      </c>
      <c r="B41" t="str">
        <f>"Only network allocator codes listed on "&amp;'A22 (Allocation Factors)'!F1&amp;" may be inputed."</f>
        <v>Only network allocator codes listed on Worksheet A22 may be inputed.</v>
      </c>
    </row>
    <row r="42" spans="1:7" ht="18.75" x14ac:dyDescent="0.25">
      <c r="A42" s="23">
        <v>4</v>
      </c>
      <c r="B42" t="str">
        <f>"Sourced from "&amp;'A19 (Income Tax Rates)'!H1&amp;", line "&amp;'A19 (Income Tax Rates)'!A21&amp;"."</f>
        <v>Sourced from Worksheet A19, line 6.</v>
      </c>
    </row>
    <row r="43" spans="1:7" ht="18.75" x14ac:dyDescent="0.25">
      <c r="A43" s="23">
        <v>5</v>
      </c>
      <c r="B43" s="274" t="s">
        <v>1031</v>
      </c>
      <c r="C43" s="274"/>
      <c r="D43" s="274"/>
      <c r="E43" s="274"/>
      <c r="F43" s="274"/>
      <c r="G43" s="274"/>
    </row>
    <row r="44" spans="1:7" ht="15.75" customHeight="1" x14ac:dyDescent="0.25">
      <c r="A44" s="23"/>
      <c r="B44" s="274"/>
      <c r="C44" s="274"/>
      <c r="D44" s="274"/>
      <c r="E44" s="274"/>
      <c r="F44" s="274"/>
      <c r="G44" s="274"/>
    </row>
    <row r="45" spans="1:7" ht="5.25" customHeight="1" thickBot="1" x14ac:dyDescent="0.3">
      <c r="A45" s="24"/>
      <c r="B45" s="4"/>
      <c r="C45" s="4"/>
      <c r="D45" s="4"/>
      <c r="E45" s="4"/>
      <c r="F45" s="4"/>
      <c r="G45" s="4"/>
    </row>
    <row r="46" spans="1:7" ht="5.25" customHeight="1" thickTop="1" x14ac:dyDescent="0.25"/>
  </sheetData>
  <mergeCells count="10">
    <mergeCell ref="A7:A9"/>
    <mergeCell ref="A12:C12"/>
    <mergeCell ref="D7:E7"/>
    <mergeCell ref="C7:C8"/>
    <mergeCell ref="B7:B8"/>
    <mergeCell ref="B43:G44"/>
    <mergeCell ref="F7:F8"/>
    <mergeCell ref="G7:G8"/>
    <mergeCell ref="B36:G36"/>
    <mergeCell ref="B37:G40"/>
  </mergeCells>
  <pageMargins left="0.7" right="0.7" top="0.75" bottom="0.75" header="0.3" footer="0.3"/>
  <pageSetup scale="62" orientation="landscape" horizontalDpi="1200" verticalDpi="1200" r:id="rId1"/>
  <headerFooter>
    <oddFooter>&amp;L&amp;6{W0327924.2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AS34"/>
  <sheetViews>
    <sheetView workbookViewId="0"/>
  </sheetViews>
  <sheetFormatPr defaultRowHeight="15.75" x14ac:dyDescent="0.25"/>
  <cols>
    <col min="1" max="1" width="4.25" style="1" customWidth="1"/>
    <col min="2" max="2" width="58.75" bestFit="1" customWidth="1"/>
    <col min="3" max="3" width="10.75" customWidth="1"/>
    <col min="4" max="4" width="12.75" customWidth="1"/>
    <col min="5" max="5" width="10.625" customWidth="1"/>
    <col min="6" max="6" width="14.125" customWidth="1"/>
    <col min="7" max="7" width="13.25" customWidth="1"/>
    <col min="8" max="8" width="6.25" customWidth="1"/>
    <col min="10" max="35" width="10.625" customWidth="1"/>
    <col min="36" max="37" width="15.25" customWidth="1"/>
    <col min="38" max="40" width="15.75" customWidth="1"/>
    <col min="41" max="41" width="18" customWidth="1"/>
    <col min="42" max="42" width="16.25" customWidth="1"/>
    <col min="43" max="44" width="15.75" customWidth="1"/>
    <col min="45" max="45" width="28.75" customWidth="1"/>
  </cols>
  <sheetData>
    <row r="1" spans="1:45" x14ac:dyDescent="0.25">
      <c r="A1" s="6" t="str">
        <f>epe</f>
        <v>El Paso Electric Company</v>
      </c>
      <c r="I1" s="8"/>
      <c r="O1" s="8" t="str">
        <f>$AS$1</f>
        <v>Worksheet A21</v>
      </c>
      <c r="Z1" s="8" t="str">
        <f>$AS$1</f>
        <v>Worksheet A21</v>
      </c>
      <c r="AJ1" t="str">
        <f>$AS$1</f>
        <v>Worksheet A21</v>
      </c>
      <c r="AQ1" t="str">
        <f>$AS$1</f>
        <v>Worksheet A21</v>
      </c>
      <c r="AS1" s="8" t="s">
        <v>734</v>
      </c>
    </row>
    <row r="2" spans="1:45" x14ac:dyDescent="0.25">
      <c r="A2" t="str">
        <f>frta</f>
        <v>Formula Rate Template (Actuals)</v>
      </c>
      <c r="I2" s="8"/>
      <c r="AS2" s="8"/>
    </row>
    <row r="3" spans="1:45" x14ac:dyDescent="0.25">
      <c r="A3" t="s">
        <v>733</v>
      </c>
    </row>
    <row r="4" spans="1:45" x14ac:dyDescent="0.25">
      <c r="A4" t="str">
        <f>"12 Months Ended December 31, "&amp;YEAR('A1 (FF1 Inputs)'!$E$12)</f>
        <v>12 Months Ended December 31, 2020</v>
      </c>
    </row>
    <row r="5" spans="1:45"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row>
    <row r="6" spans="1:45" ht="5.25" customHeight="1" thickTop="1" x14ac:dyDescent="0.25">
      <c r="A6"/>
    </row>
    <row r="7" spans="1:45" s="3" customFormat="1" ht="15.75" customHeight="1" x14ac:dyDescent="0.25">
      <c r="A7" s="266" t="str">
        <f>ln</f>
        <v>Line No.</v>
      </c>
      <c r="B7" s="266" t="s">
        <v>735</v>
      </c>
      <c r="C7" s="282" t="s">
        <v>736</v>
      </c>
      <c r="D7" s="266" t="s">
        <v>737</v>
      </c>
      <c r="E7" s="266" t="s">
        <v>739</v>
      </c>
      <c r="F7" s="275" t="s">
        <v>631</v>
      </c>
      <c r="G7" s="282" t="s">
        <v>390</v>
      </c>
      <c r="H7" s="268" t="s">
        <v>393</v>
      </c>
      <c r="I7" s="268"/>
      <c r="J7" s="289" t="s">
        <v>633</v>
      </c>
      <c r="K7" s="279"/>
      <c r="L7" s="279"/>
      <c r="M7" s="279"/>
      <c r="N7" s="279"/>
      <c r="O7" s="279"/>
      <c r="P7" s="279" t="s">
        <v>633</v>
      </c>
      <c r="Q7" s="279"/>
      <c r="R7" s="279"/>
      <c r="S7" s="279"/>
      <c r="T7" s="279"/>
      <c r="U7" s="279"/>
      <c r="V7" s="290"/>
      <c r="W7" s="289" t="s">
        <v>634</v>
      </c>
      <c r="X7" s="279"/>
      <c r="Y7" s="279"/>
      <c r="Z7" s="279"/>
      <c r="AA7" s="279" t="s">
        <v>634</v>
      </c>
      <c r="AB7" s="279"/>
      <c r="AC7" s="279"/>
      <c r="AD7" s="279"/>
      <c r="AE7" s="279"/>
      <c r="AF7" s="279"/>
      <c r="AG7" s="279"/>
      <c r="AH7" s="279"/>
      <c r="AI7" s="290"/>
      <c r="AJ7" s="275" t="s">
        <v>641</v>
      </c>
      <c r="AK7" s="275" t="s">
        <v>642</v>
      </c>
      <c r="AL7" s="275" t="s">
        <v>643</v>
      </c>
      <c r="AM7" s="275" t="s">
        <v>644</v>
      </c>
      <c r="AN7" s="275" t="s">
        <v>645</v>
      </c>
      <c r="AO7" s="275" t="s">
        <v>630</v>
      </c>
      <c r="AP7" s="275" t="s">
        <v>1054</v>
      </c>
      <c r="AQ7" s="275" t="s">
        <v>646</v>
      </c>
      <c r="AR7" s="275" t="s">
        <v>647</v>
      </c>
      <c r="AS7" s="266" t="s">
        <v>692</v>
      </c>
    </row>
    <row r="8" spans="1:45" s="3" customFormat="1" x14ac:dyDescent="0.25">
      <c r="A8" s="266"/>
      <c r="B8" s="266"/>
      <c r="C8" s="282"/>
      <c r="D8" s="266"/>
      <c r="E8" s="266"/>
      <c r="F8" s="275"/>
      <c r="G8" s="282"/>
      <c r="H8" s="3" t="s">
        <v>5</v>
      </c>
      <c r="I8" s="3" t="s">
        <v>6</v>
      </c>
      <c r="J8" s="107" t="str">
        <f>"Dec-"&amp;YEAR('A1 (FF1 Inputs)'!$E$12)-1</f>
        <v>Dec-2019</v>
      </c>
      <c r="K8" s="3" t="str">
        <f>"Jan-"&amp;YEAR('A1 (FF1 Inputs)'!$E$12)</f>
        <v>Jan-2020</v>
      </c>
      <c r="L8" s="3" t="str">
        <f>"Feb-"&amp;YEAR('A1 (FF1 Inputs)'!$E$12)</f>
        <v>Feb-2020</v>
      </c>
      <c r="M8" s="3" t="str">
        <f>"Mar-"&amp;YEAR('A1 (FF1 Inputs)'!$E$12)</f>
        <v>Mar-2020</v>
      </c>
      <c r="N8" s="3" t="str">
        <f>"Apr-"&amp;YEAR('A1 (FF1 Inputs)'!$E$12)</f>
        <v>Apr-2020</v>
      </c>
      <c r="O8" s="3" t="str">
        <f>"May-"&amp;YEAR('A1 (FF1 Inputs)'!$E$12)</f>
        <v>May-2020</v>
      </c>
      <c r="P8" s="3" t="str">
        <f>"Jun-"&amp;YEAR('A1 (FF1 Inputs)'!$E$12)</f>
        <v>Jun-2020</v>
      </c>
      <c r="Q8" s="3" t="str">
        <f>"Jul-"&amp;YEAR('A1 (FF1 Inputs)'!$E$12)</f>
        <v>Jul-2020</v>
      </c>
      <c r="R8" s="3" t="str">
        <f>"Aug-"&amp;YEAR('A1 (FF1 Inputs)'!$E$12)</f>
        <v>Aug-2020</v>
      </c>
      <c r="S8" s="3" t="str">
        <f>"Sep-"&amp;YEAR('A1 (FF1 Inputs)'!$E$12)</f>
        <v>Sep-2020</v>
      </c>
      <c r="T8" s="3" t="str">
        <f>"Oct-"&amp;YEAR('A1 (FF1 Inputs)'!$E$12)</f>
        <v>Oct-2020</v>
      </c>
      <c r="U8" s="3" t="str">
        <f>"Nov-"&amp;YEAR('A1 (FF1 Inputs)'!$E$12)</f>
        <v>Nov-2020</v>
      </c>
      <c r="V8" s="149" t="str">
        <f>"Dec-"&amp;YEAR('A1 (FF1 Inputs)'!$E$12)</f>
        <v>Dec-2020</v>
      </c>
      <c r="W8" s="3" t="str">
        <f>"Dec-"&amp;YEAR('A1 (FF1 Inputs)'!$E$12)-1</f>
        <v>Dec-2019</v>
      </c>
      <c r="X8" s="3" t="str">
        <f>"Jan-"&amp;YEAR('A1 (FF1 Inputs)'!$E$12)</f>
        <v>Jan-2020</v>
      </c>
      <c r="Y8" s="3" t="str">
        <f>"Feb-"&amp;YEAR('A1 (FF1 Inputs)'!$E$12)</f>
        <v>Feb-2020</v>
      </c>
      <c r="Z8" s="3" t="str">
        <f>"Mar-"&amp;YEAR('A1 (FF1 Inputs)'!$E$12)</f>
        <v>Mar-2020</v>
      </c>
      <c r="AA8" s="3" t="str">
        <f>"Apr-"&amp;YEAR('A1 (FF1 Inputs)'!$E$12)</f>
        <v>Apr-2020</v>
      </c>
      <c r="AB8" s="3" t="str">
        <f>"May-"&amp;YEAR('A1 (FF1 Inputs)'!$E$12)</f>
        <v>May-2020</v>
      </c>
      <c r="AC8" s="3" t="str">
        <f>"Jun-"&amp;YEAR('A1 (FF1 Inputs)'!$E$12)</f>
        <v>Jun-2020</v>
      </c>
      <c r="AD8" s="3" t="str">
        <f>"Jul-"&amp;YEAR('A1 (FF1 Inputs)'!$E$12)</f>
        <v>Jul-2020</v>
      </c>
      <c r="AE8" s="3" t="str">
        <f>"Aug-"&amp;YEAR('A1 (FF1 Inputs)'!$E$12)</f>
        <v>Aug-2020</v>
      </c>
      <c r="AF8" s="3" t="str">
        <f>"Sep-"&amp;YEAR('A1 (FF1 Inputs)'!$E$12)</f>
        <v>Sep-2020</v>
      </c>
      <c r="AG8" s="3" t="str">
        <f>"Oct-"&amp;YEAR('A1 (FF1 Inputs)'!$E$12)</f>
        <v>Oct-2020</v>
      </c>
      <c r="AH8" s="3" t="str">
        <f>"Nov-"&amp;YEAR('A1 (FF1 Inputs)'!$E$12)</f>
        <v>Nov-2020</v>
      </c>
      <c r="AI8" s="149" t="str">
        <f>"Dec-"&amp;YEAR('A1 (FF1 Inputs)'!$E$12)</f>
        <v>Dec-2020</v>
      </c>
      <c r="AJ8" s="275"/>
      <c r="AK8" s="275"/>
      <c r="AL8" s="275"/>
      <c r="AM8" s="275"/>
      <c r="AN8" s="275"/>
      <c r="AO8" s="275"/>
      <c r="AP8" s="275"/>
      <c r="AQ8" s="275"/>
      <c r="AR8" s="275"/>
      <c r="AS8" s="266"/>
    </row>
    <row r="9" spans="1:45" s="1" customFormat="1" x14ac:dyDescent="0.25">
      <c r="A9" s="266"/>
      <c r="B9" s="2" t="s">
        <v>7</v>
      </c>
      <c r="C9" s="2" t="s">
        <v>8</v>
      </c>
      <c r="D9" s="2" t="s">
        <v>9</v>
      </c>
      <c r="E9" s="2" t="s">
        <v>10</v>
      </c>
      <c r="F9" s="2" t="s">
        <v>632</v>
      </c>
      <c r="G9" s="2" t="s">
        <v>12</v>
      </c>
      <c r="H9" s="2" t="s">
        <v>91</v>
      </c>
      <c r="I9" s="2" t="s">
        <v>92</v>
      </c>
      <c r="J9" s="108" t="s">
        <v>93</v>
      </c>
      <c r="K9" s="2" t="s">
        <v>94</v>
      </c>
      <c r="L9" s="2" t="s">
        <v>95</v>
      </c>
      <c r="M9" s="2" t="s">
        <v>307</v>
      </c>
      <c r="N9" s="2" t="s">
        <v>392</v>
      </c>
      <c r="O9" s="2" t="s">
        <v>395</v>
      </c>
      <c r="P9" s="2" t="s">
        <v>396</v>
      </c>
      <c r="Q9" s="2" t="s">
        <v>397</v>
      </c>
      <c r="R9" s="2" t="s">
        <v>398</v>
      </c>
      <c r="S9" s="2" t="s">
        <v>399</v>
      </c>
      <c r="T9" s="2" t="s">
        <v>400</v>
      </c>
      <c r="U9" s="2" t="s">
        <v>401</v>
      </c>
      <c r="V9" s="2" t="s">
        <v>402</v>
      </c>
      <c r="W9" s="108" t="s">
        <v>403</v>
      </c>
      <c r="X9" s="2" t="s">
        <v>404</v>
      </c>
      <c r="Y9" s="2" t="s">
        <v>405</v>
      </c>
      <c r="Z9" s="2" t="s">
        <v>406</v>
      </c>
      <c r="AA9" s="2" t="s">
        <v>407</v>
      </c>
      <c r="AB9" s="2" t="s">
        <v>635</v>
      </c>
      <c r="AC9" s="2" t="s">
        <v>410</v>
      </c>
      <c r="AD9" s="2" t="s">
        <v>444</v>
      </c>
      <c r="AE9" s="2" t="s">
        <v>636</v>
      </c>
      <c r="AF9" s="2" t="s">
        <v>637</v>
      </c>
      <c r="AG9" s="2" t="s">
        <v>638</v>
      </c>
      <c r="AH9" s="2" t="s">
        <v>639</v>
      </c>
      <c r="AI9" s="153" t="s">
        <v>640</v>
      </c>
      <c r="AJ9" s="3" t="str">
        <f>"[ii]=Avg.("&amp;J9&amp;"-"&amp;V9&amp;")"</f>
        <v>[ii]=Avg.([i]-[u])</v>
      </c>
      <c r="AK9" s="3" t="str">
        <f>"[jj]=Avg.("&amp;W9&amp;"-"&amp;AI9&amp;")"</f>
        <v>[jj]=Avg.([v]-[hh])</v>
      </c>
      <c r="AL9" s="3" t="s">
        <v>740</v>
      </c>
      <c r="AM9" s="2" t="s">
        <v>741</v>
      </c>
      <c r="AN9" s="2" t="s">
        <v>742</v>
      </c>
      <c r="AO9" s="2" t="s">
        <v>743</v>
      </c>
      <c r="AP9" s="2" t="s">
        <v>648</v>
      </c>
      <c r="AQ9" s="2" t="s">
        <v>744</v>
      </c>
      <c r="AR9" s="2" t="s">
        <v>745</v>
      </c>
      <c r="AS9" s="2" t="s">
        <v>649</v>
      </c>
    </row>
    <row r="10" spans="1:45" ht="5.25" customHeight="1" x14ac:dyDescent="0.25">
      <c r="A10" s="5"/>
      <c r="B10" s="5"/>
      <c r="C10" s="5"/>
      <c r="D10" s="5"/>
      <c r="E10" s="5"/>
      <c r="F10" s="5"/>
      <c r="G10" s="5"/>
      <c r="H10" s="5"/>
      <c r="I10" s="5"/>
      <c r="J10" s="154"/>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5" ht="5.25" customHeight="1" x14ac:dyDescent="0.25">
      <c r="A11"/>
      <c r="J11" s="155"/>
    </row>
    <row r="12" spans="1:45" x14ac:dyDescent="0.25">
      <c r="A12" s="31" t="s">
        <v>411</v>
      </c>
      <c r="B12" s="32" t="s">
        <v>357</v>
      </c>
      <c r="C12" s="31" t="s">
        <v>357</v>
      </c>
      <c r="D12" s="43">
        <v>0</v>
      </c>
      <c r="E12" s="76">
        <f>'A18 (Cost of Capital)'!$G$28</f>
        <v>0.50592882228514535</v>
      </c>
      <c r="F12" s="76">
        <f>D12*E12</f>
        <v>0</v>
      </c>
      <c r="G12" s="43">
        <v>0</v>
      </c>
      <c r="H12" s="31" t="s">
        <v>357</v>
      </c>
      <c r="I12" s="45">
        <f>IFERROR(VLOOKUP(H12,'A22 (Allocation Factors)'!$D:$F,3,0),0)</f>
        <v>0</v>
      </c>
      <c r="J12" s="156">
        <v>0</v>
      </c>
      <c r="K12" s="37">
        <v>0</v>
      </c>
      <c r="L12" s="37">
        <v>0</v>
      </c>
      <c r="M12" s="37">
        <v>0</v>
      </c>
      <c r="N12" s="37">
        <v>0</v>
      </c>
      <c r="O12" s="37">
        <v>0</v>
      </c>
      <c r="P12" s="37">
        <v>0</v>
      </c>
      <c r="Q12" s="37">
        <v>0</v>
      </c>
      <c r="R12" s="37">
        <v>0</v>
      </c>
      <c r="S12" s="37">
        <v>0</v>
      </c>
      <c r="T12" s="37">
        <v>0</v>
      </c>
      <c r="U12" s="37">
        <v>0</v>
      </c>
      <c r="V12" s="150">
        <v>0</v>
      </c>
      <c r="W12" s="37">
        <v>0</v>
      </c>
      <c r="X12" s="37">
        <v>0</v>
      </c>
      <c r="Y12" s="37">
        <v>0</v>
      </c>
      <c r="Z12" s="37">
        <v>0</v>
      </c>
      <c r="AA12" s="37">
        <v>0</v>
      </c>
      <c r="AB12" s="37">
        <v>0</v>
      </c>
      <c r="AC12" s="37">
        <v>0</v>
      </c>
      <c r="AD12" s="37">
        <v>0</v>
      </c>
      <c r="AE12" s="37">
        <v>0</v>
      </c>
      <c r="AF12" s="37">
        <v>0</v>
      </c>
      <c r="AG12" s="37">
        <v>0</v>
      </c>
      <c r="AH12" s="37">
        <v>0</v>
      </c>
      <c r="AI12" s="150">
        <v>0</v>
      </c>
      <c r="AJ12" s="41">
        <f>AVERAGE(J12:V12)</f>
        <v>0</v>
      </c>
      <c r="AK12" s="41">
        <f>AVERAGE(W12:AI12)</f>
        <v>0</v>
      </c>
      <c r="AL12" s="41">
        <f>AJ12*$I12</f>
        <v>0</v>
      </c>
      <c r="AM12" s="41">
        <f>AK12*$I12</f>
        <v>0</v>
      </c>
      <c r="AN12" s="41">
        <f>AL12-AM12</f>
        <v>0</v>
      </c>
      <c r="AO12" s="41">
        <f>F12*G12*I12*AN12</f>
        <v>0</v>
      </c>
      <c r="AP12" s="76">
        <f>'Actual Attachment H'!$I$129</f>
        <v>0.28261465030055971</v>
      </c>
      <c r="AQ12" s="41">
        <f>AO12*AP12</f>
        <v>0</v>
      </c>
      <c r="AR12" s="41">
        <f>AO12+AQ12</f>
        <v>0</v>
      </c>
      <c r="AS12" s="46" t="s">
        <v>357</v>
      </c>
    </row>
    <row r="13" spans="1:45" x14ac:dyDescent="0.25">
      <c r="A13" s="31" t="s">
        <v>412</v>
      </c>
      <c r="B13" s="32" t="s">
        <v>357</v>
      </c>
      <c r="C13" s="31" t="s">
        <v>357</v>
      </c>
      <c r="D13" s="43">
        <v>0</v>
      </c>
      <c r="E13" s="76">
        <f>'A18 (Cost of Capital)'!$G$28</f>
        <v>0.50592882228514535</v>
      </c>
      <c r="F13" s="76">
        <f t="shared" ref="F13:F18" si="0">D13*E13</f>
        <v>0</v>
      </c>
      <c r="G13" s="43">
        <v>0</v>
      </c>
      <c r="H13" s="31" t="s">
        <v>357</v>
      </c>
      <c r="I13" s="45">
        <f>IFERROR(VLOOKUP(H13,'A22 (Allocation Factors)'!$D:$F,3,0),0)</f>
        <v>0</v>
      </c>
      <c r="J13" s="156">
        <v>0</v>
      </c>
      <c r="K13" s="37">
        <v>0</v>
      </c>
      <c r="L13" s="37">
        <v>0</v>
      </c>
      <c r="M13" s="37">
        <v>0</v>
      </c>
      <c r="N13" s="37">
        <v>0</v>
      </c>
      <c r="O13" s="37">
        <v>0</v>
      </c>
      <c r="P13" s="37">
        <v>0</v>
      </c>
      <c r="Q13" s="37">
        <v>0</v>
      </c>
      <c r="R13" s="37">
        <v>0</v>
      </c>
      <c r="S13" s="37">
        <v>0</v>
      </c>
      <c r="T13" s="37">
        <v>0</v>
      </c>
      <c r="U13" s="37">
        <v>0</v>
      </c>
      <c r="V13" s="150">
        <v>0</v>
      </c>
      <c r="W13" s="37">
        <v>0</v>
      </c>
      <c r="X13" s="37">
        <v>0</v>
      </c>
      <c r="Y13" s="37">
        <v>0</v>
      </c>
      <c r="Z13" s="37">
        <v>0</v>
      </c>
      <c r="AA13" s="37">
        <v>0</v>
      </c>
      <c r="AB13" s="37">
        <v>0</v>
      </c>
      <c r="AC13" s="37">
        <v>0</v>
      </c>
      <c r="AD13" s="37">
        <v>0</v>
      </c>
      <c r="AE13" s="37">
        <v>0</v>
      </c>
      <c r="AF13" s="37">
        <v>0</v>
      </c>
      <c r="AG13" s="37">
        <v>0</v>
      </c>
      <c r="AH13" s="37">
        <v>0</v>
      </c>
      <c r="AI13" s="150">
        <v>0</v>
      </c>
      <c r="AJ13" s="41">
        <f t="shared" ref="AJ13:AJ18" si="1">AVERAGE(J13:V13)</f>
        <v>0</v>
      </c>
      <c r="AK13" s="41">
        <f t="shared" ref="AK13:AK18" si="2">AVERAGE(W13:AI13)</f>
        <v>0</v>
      </c>
      <c r="AL13" s="41">
        <f t="shared" ref="AL13:AM18" si="3">AJ13*$I13</f>
        <v>0</v>
      </c>
      <c r="AM13" s="41">
        <f t="shared" si="3"/>
        <v>0</v>
      </c>
      <c r="AN13" s="41">
        <f t="shared" ref="AN13:AN18" si="4">AL13-AM13</f>
        <v>0</v>
      </c>
      <c r="AO13" s="41">
        <f t="shared" ref="AO13:AO18" si="5">F13*G13*I13*AN13</f>
        <v>0</v>
      </c>
      <c r="AP13" s="76">
        <f>'Actual Attachment H'!$I$129</f>
        <v>0.28261465030055971</v>
      </c>
      <c r="AQ13" s="41">
        <f t="shared" ref="AQ13:AQ18" si="6">AO13*AP13</f>
        <v>0</v>
      </c>
      <c r="AR13" s="41">
        <f t="shared" ref="AR13:AR17" si="7">AO13+AQ13</f>
        <v>0</v>
      </c>
      <c r="AS13" s="46" t="s">
        <v>357</v>
      </c>
    </row>
    <row r="14" spans="1:45" x14ac:dyDescent="0.25">
      <c r="A14" s="31" t="s">
        <v>413</v>
      </c>
      <c r="B14" s="32" t="s">
        <v>357</v>
      </c>
      <c r="C14" s="31" t="s">
        <v>357</v>
      </c>
      <c r="D14" s="43">
        <v>0</v>
      </c>
      <c r="E14" s="76">
        <f>'A18 (Cost of Capital)'!$G$28</f>
        <v>0.50592882228514535</v>
      </c>
      <c r="F14" s="76">
        <f t="shared" si="0"/>
        <v>0</v>
      </c>
      <c r="G14" s="43">
        <v>0</v>
      </c>
      <c r="H14" s="31" t="s">
        <v>357</v>
      </c>
      <c r="I14" s="45">
        <f>IFERROR(VLOOKUP(H14,'A22 (Allocation Factors)'!$D:$F,3,0),0)</f>
        <v>0</v>
      </c>
      <c r="J14" s="156">
        <v>0</v>
      </c>
      <c r="K14" s="37">
        <v>0</v>
      </c>
      <c r="L14" s="37">
        <v>0</v>
      </c>
      <c r="M14" s="37">
        <v>0</v>
      </c>
      <c r="N14" s="37">
        <v>0</v>
      </c>
      <c r="O14" s="37">
        <v>0</v>
      </c>
      <c r="P14" s="37">
        <v>0</v>
      </c>
      <c r="Q14" s="37">
        <v>0</v>
      </c>
      <c r="R14" s="37">
        <v>0</v>
      </c>
      <c r="S14" s="37">
        <v>0</v>
      </c>
      <c r="T14" s="37">
        <v>0</v>
      </c>
      <c r="U14" s="37">
        <v>0</v>
      </c>
      <c r="V14" s="150">
        <v>0</v>
      </c>
      <c r="W14" s="37">
        <v>0</v>
      </c>
      <c r="X14" s="37">
        <v>0</v>
      </c>
      <c r="Y14" s="37">
        <v>0</v>
      </c>
      <c r="Z14" s="37">
        <v>0</v>
      </c>
      <c r="AA14" s="37">
        <v>0</v>
      </c>
      <c r="AB14" s="37">
        <v>0</v>
      </c>
      <c r="AC14" s="37">
        <v>0</v>
      </c>
      <c r="AD14" s="37">
        <v>0</v>
      </c>
      <c r="AE14" s="37">
        <v>0</v>
      </c>
      <c r="AF14" s="37">
        <v>0</v>
      </c>
      <c r="AG14" s="37">
        <v>0</v>
      </c>
      <c r="AH14" s="37">
        <v>0</v>
      </c>
      <c r="AI14" s="150">
        <v>0</v>
      </c>
      <c r="AJ14" s="41">
        <f t="shared" si="1"/>
        <v>0</v>
      </c>
      <c r="AK14" s="41">
        <f t="shared" si="2"/>
        <v>0</v>
      </c>
      <c r="AL14" s="41">
        <f t="shared" si="3"/>
        <v>0</v>
      </c>
      <c r="AM14" s="41">
        <f t="shared" si="3"/>
        <v>0</v>
      </c>
      <c r="AN14" s="41">
        <f t="shared" si="4"/>
        <v>0</v>
      </c>
      <c r="AO14" s="41">
        <f t="shared" si="5"/>
        <v>0</v>
      </c>
      <c r="AP14" s="76">
        <f>'Actual Attachment H'!$I$129</f>
        <v>0.28261465030055971</v>
      </c>
      <c r="AQ14" s="41">
        <f t="shared" si="6"/>
        <v>0</v>
      </c>
      <c r="AR14" s="41">
        <f t="shared" si="7"/>
        <v>0</v>
      </c>
      <c r="AS14" s="46" t="s">
        <v>357</v>
      </c>
    </row>
    <row r="15" spans="1:45" x14ac:dyDescent="0.25">
      <c r="A15" s="31" t="s">
        <v>357</v>
      </c>
      <c r="B15" s="32" t="s">
        <v>357</v>
      </c>
      <c r="C15" s="31" t="s">
        <v>357</v>
      </c>
      <c r="D15" s="43">
        <v>0</v>
      </c>
      <c r="E15" s="76">
        <f>'A18 (Cost of Capital)'!$G$28</f>
        <v>0.50592882228514535</v>
      </c>
      <c r="F15" s="76">
        <f t="shared" si="0"/>
        <v>0</v>
      </c>
      <c r="G15" s="43">
        <v>0</v>
      </c>
      <c r="H15" s="31" t="s">
        <v>357</v>
      </c>
      <c r="I15" s="45">
        <f>IFERROR(VLOOKUP(H15,'A22 (Allocation Factors)'!$D:$F,3,0),0)</f>
        <v>0</v>
      </c>
      <c r="J15" s="156">
        <v>0</v>
      </c>
      <c r="K15" s="37">
        <v>0</v>
      </c>
      <c r="L15" s="37">
        <v>0</v>
      </c>
      <c r="M15" s="37">
        <v>0</v>
      </c>
      <c r="N15" s="37">
        <v>0</v>
      </c>
      <c r="O15" s="37">
        <v>0</v>
      </c>
      <c r="P15" s="37">
        <v>0</v>
      </c>
      <c r="Q15" s="37">
        <v>0</v>
      </c>
      <c r="R15" s="37">
        <v>0</v>
      </c>
      <c r="S15" s="37">
        <v>0</v>
      </c>
      <c r="T15" s="37">
        <v>0</v>
      </c>
      <c r="U15" s="37">
        <v>0</v>
      </c>
      <c r="V15" s="150">
        <v>0</v>
      </c>
      <c r="W15" s="37">
        <v>0</v>
      </c>
      <c r="X15" s="37">
        <v>0</v>
      </c>
      <c r="Y15" s="37">
        <v>0</v>
      </c>
      <c r="Z15" s="37">
        <v>0</v>
      </c>
      <c r="AA15" s="37">
        <v>0</v>
      </c>
      <c r="AB15" s="37">
        <v>0</v>
      </c>
      <c r="AC15" s="37">
        <v>0</v>
      </c>
      <c r="AD15" s="37">
        <v>0</v>
      </c>
      <c r="AE15" s="37">
        <v>0</v>
      </c>
      <c r="AF15" s="37">
        <v>0</v>
      </c>
      <c r="AG15" s="37">
        <v>0</v>
      </c>
      <c r="AH15" s="37">
        <v>0</v>
      </c>
      <c r="AI15" s="150">
        <v>0</v>
      </c>
      <c r="AJ15" s="41">
        <f t="shared" si="1"/>
        <v>0</v>
      </c>
      <c r="AK15" s="41">
        <f t="shared" si="2"/>
        <v>0</v>
      </c>
      <c r="AL15" s="41">
        <f t="shared" si="3"/>
        <v>0</v>
      </c>
      <c r="AM15" s="41">
        <f t="shared" si="3"/>
        <v>0</v>
      </c>
      <c r="AN15" s="41">
        <f t="shared" si="4"/>
        <v>0</v>
      </c>
      <c r="AO15" s="41">
        <f t="shared" si="5"/>
        <v>0</v>
      </c>
      <c r="AP15" s="76">
        <f>'Actual Attachment H'!$I$129</f>
        <v>0.28261465030055971</v>
      </c>
      <c r="AQ15" s="41">
        <f t="shared" si="6"/>
        <v>0</v>
      </c>
      <c r="AR15" s="41">
        <f t="shared" si="7"/>
        <v>0</v>
      </c>
      <c r="AS15" s="46" t="s">
        <v>357</v>
      </c>
    </row>
    <row r="16" spans="1:45" x14ac:dyDescent="0.25">
      <c r="A16" s="31" t="s">
        <v>357</v>
      </c>
      <c r="B16" s="32" t="s">
        <v>357</v>
      </c>
      <c r="C16" s="31" t="s">
        <v>357</v>
      </c>
      <c r="D16" s="43">
        <v>0</v>
      </c>
      <c r="E16" s="76">
        <f>'A18 (Cost of Capital)'!$G$28</f>
        <v>0.50592882228514535</v>
      </c>
      <c r="F16" s="76">
        <f t="shared" si="0"/>
        <v>0</v>
      </c>
      <c r="G16" s="43">
        <v>0</v>
      </c>
      <c r="H16" s="31" t="s">
        <v>357</v>
      </c>
      <c r="I16" s="45">
        <f>IFERROR(VLOOKUP(H16,'A22 (Allocation Factors)'!$D:$F,3,0),0)</f>
        <v>0</v>
      </c>
      <c r="J16" s="156">
        <v>0</v>
      </c>
      <c r="K16" s="37">
        <v>0</v>
      </c>
      <c r="L16" s="37">
        <v>0</v>
      </c>
      <c r="M16" s="37">
        <v>0</v>
      </c>
      <c r="N16" s="37">
        <v>0</v>
      </c>
      <c r="O16" s="37">
        <v>0</v>
      </c>
      <c r="P16" s="37">
        <v>0</v>
      </c>
      <c r="Q16" s="37">
        <v>0</v>
      </c>
      <c r="R16" s="37">
        <v>0</v>
      </c>
      <c r="S16" s="37">
        <v>0</v>
      </c>
      <c r="T16" s="37">
        <v>0</v>
      </c>
      <c r="U16" s="37">
        <v>0</v>
      </c>
      <c r="V16" s="150">
        <v>0</v>
      </c>
      <c r="W16" s="37">
        <v>0</v>
      </c>
      <c r="X16" s="37">
        <v>0</v>
      </c>
      <c r="Y16" s="37">
        <v>0</v>
      </c>
      <c r="Z16" s="37">
        <v>0</v>
      </c>
      <c r="AA16" s="37">
        <v>0</v>
      </c>
      <c r="AB16" s="37">
        <v>0</v>
      </c>
      <c r="AC16" s="37">
        <v>0</v>
      </c>
      <c r="AD16" s="37">
        <v>0</v>
      </c>
      <c r="AE16" s="37">
        <v>0</v>
      </c>
      <c r="AF16" s="37">
        <v>0</v>
      </c>
      <c r="AG16" s="37">
        <v>0</v>
      </c>
      <c r="AH16" s="37">
        <v>0</v>
      </c>
      <c r="AI16" s="150">
        <v>0</v>
      </c>
      <c r="AJ16" s="41">
        <f t="shared" si="1"/>
        <v>0</v>
      </c>
      <c r="AK16" s="41">
        <f t="shared" si="2"/>
        <v>0</v>
      </c>
      <c r="AL16" s="41">
        <f t="shared" si="3"/>
        <v>0</v>
      </c>
      <c r="AM16" s="41">
        <f t="shared" si="3"/>
        <v>0</v>
      </c>
      <c r="AN16" s="41">
        <f t="shared" si="4"/>
        <v>0</v>
      </c>
      <c r="AO16" s="41">
        <f t="shared" si="5"/>
        <v>0</v>
      </c>
      <c r="AP16" s="76">
        <f>'Actual Attachment H'!$I$129</f>
        <v>0.28261465030055971</v>
      </c>
      <c r="AQ16" s="41">
        <f t="shared" si="6"/>
        <v>0</v>
      </c>
      <c r="AR16" s="41">
        <f t="shared" si="7"/>
        <v>0</v>
      </c>
      <c r="AS16" s="46" t="s">
        <v>357</v>
      </c>
    </row>
    <row r="17" spans="1:45" x14ac:dyDescent="0.25">
      <c r="A17" s="31" t="s">
        <v>357</v>
      </c>
      <c r="B17" s="32" t="s">
        <v>357</v>
      </c>
      <c r="C17" s="31" t="s">
        <v>357</v>
      </c>
      <c r="D17" s="43">
        <v>0</v>
      </c>
      <c r="E17" s="76">
        <f>'A18 (Cost of Capital)'!$G$28</f>
        <v>0.50592882228514535</v>
      </c>
      <c r="F17" s="76">
        <f t="shared" si="0"/>
        <v>0</v>
      </c>
      <c r="G17" s="43">
        <v>0</v>
      </c>
      <c r="H17" s="31" t="s">
        <v>357</v>
      </c>
      <c r="I17" s="45">
        <f>IFERROR(VLOOKUP(H17,'A22 (Allocation Factors)'!$D:$F,3,0),0)</f>
        <v>0</v>
      </c>
      <c r="J17" s="156">
        <v>0</v>
      </c>
      <c r="K17" s="37">
        <v>0</v>
      </c>
      <c r="L17" s="37">
        <v>0</v>
      </c>
      <c r="M17" s="37">
        <v>0</v>
      </c>
      <c r="N17" s="37">
        <v>0</v>
      </c>
      <c r="O17" s="37">
        <v>0</v>
      </c>
      <c r="P17" s="37">
        <v>0</v>
      </c>
      <c r="Q17" s="37">
        <v>0</v>
      </c>
      <c r="R17" s="37">
        <v>0</v>
      </c>
      <c r="S17" s="37">
        <v>0</v>
      </c>
      <c r="T17" s="37">
        <v>0</v>
      </c>
      <c r="U17" s="37">
        <v>0</v>
      </c>
      <c r="V17" s="150">
        <v>0</v>
      </c>
      <c r="W17" s="37">
        <v>0</v>
      </c>
      <c r="X17" s="37">
        <v>0</v>
      </c>
      <c r="Y17" s="37">
        <v>0</v>
      </c>
      <c r="Z17" s="37">
        <v>0</v>
      </c>
      <c r="AA17" s="37">
        <v>0</v>
      </c>
      <c r="AB17" s="37">
        <v>0</v>
      </c>
      <c r="AC17" s="37">
        <v>0</v>
      </c>
      <c r="AD17" s="37">
        <v>0</v>
      </c>
      <c r="AE17" s="37">
        <v>0</v>
      </c>
      <c r="AF17" s="37">
        <v>0</v>
      </c>
      <c r="AG17" s="37">
        <v>0</v>
      </c>
      <c r="AH17" s="37">
        <v>0</v>
      </c>
      <c r="AI17" s="150">
        <v>0</v>
      </c>
      <c r="AJ17" s="41">
        <f t="shared" si="1"/>
        <v>0</v>
      </c>
      <c r="AK17" s="41">
        <f t="shared" si="2"/>
        <v>0</v>
      </c>
      <c r="AL17" s="41">
        <f t="shared" si="3"/>
        <v>0</v>
      </c>
      <c r="AM17" s="41">
        <f t="shared" si="3"/>
        <v>0</v>
      </c>
      <c r="AN17" s="41">
        <f t="shared" si="4"/>
        <v>0</v>
      </c>
      <c r="AO17" s="41">
        <f t="shared" si="5"/>
        <v>0</v>
      </c>
      <c r="AP17" s="76">
        <f>'Actual Attachment H'!$I$129</f>
        <v>0.28261465030055971</v>
      </c>
      <c r="AQ17" s="41">
        <f t="shared" si="6"/>
        <v>0</v>
      </c>
      <c r="AR17" s="41">
        <f t="shared" si="7"/>
        <v>0</v>
      </c>
      <c r="AS17" s="46" t="s">
        <v>357</v>
      </c>
    </row>
    <row r="18" spans="1:45" x14ac:dyDescent="0.25">
      <c r="A18" s="1" t="s">
        <v>478</v>
      </c>
      <c r="B18" s="104" t="s">
        <v>357</v>
      </c>
      <c r="C18" s="73" t="s">
        <v>357</v>
      </c>
      <c r="D18" s="105">
        <v>0</v>
      </c>
      <c r="E18" s="106">
        <f>'A18 (Cost of Capital)'!$G$28</f>
        <v>0.50592882228514535</v>
      </c>
      <c r="F18" s="106">
        <f t="shared" si="0"/>
        <v>0</v>
      </c>
      <c r="G18" s="105">
        <v>0</v>
      </c>
      <c r="H18" s="73" t="s">
        <v>357</v>
      </c>
      <c r="I18" s="74">
        <f>IFERROR(VLOOKUP(H18,'A22 (Allocation Factors)'!$D:$F,3,0),0)</f>
        <v>0</v>
      </c>
      <c r="J18" s="157">
        <v>0</v>
      </c>
      <c r="K18" s="20">
        <v>0</v>
      </c>
      <c r="L18" s="20">
        <v>0</v>
      </c>
      <c r="M18" s="20">
        <v>0</v>
      </c>
      <c r="N18" s="20">
        <v>0</v>
      </c>
      <c r="O18" s="20">
        <v>0</v>
      </c>
      <c r="P18" s="20">
        <v>0</v>
      </c>
      <c r="Q18" s="20">
        <v>0</v>
      </c>
      <c r="R18" s="20">
        <v>0</v>
      </c>
      <c r="S18" s="20">
        <v>0</v>
      </c>
      <c r="T18" s="20">
        <v>0</v>
      </c>
      <c r="U18" s="20">
        <v>0</v>
      </c>
      <c r="V18" s="151">
        <v>0</v>
      </c>
      <c r="W18" s="20">
        <v>0</v>
      </c>
      <c r="X18" s="20">
        <v>0</v>
      </c>
      <c r="Y18" s="20">
        <v>0</v>
      </c>
      <c r="Z18" s="20">
        <v>0</v>
      </c>
      <c r="AA18" s="20">
        <v>0</v>
      </c>
      <c r="AB18" s="20">
        <v>0</v>
      </c>
      <c r="AC18" s="20">
        <v>0</v>
      </c>
      <c r="AD18" s="20">
        <v>0</v>
      </c>
      <c r="AE18" s="20">
        <v>0</v>
      </c>
      <c r="AF18" s="20">
        <v>0</v>
      </c>
      <c r="AG18" s="20">
        <v>0</v>
      </c>
      <c r="AH18" s="20">
        <v>0</v>
      </c>
      <c r="AI18" s="151">
        <v>0</v>
      </c>
      <c r="AJ18" s="10">
        <f t="shared" si="1"/>
        <v>0</v>
      </c>
      <c r="AK18" s="41">
        <f t="shared" si="2"/>
        <v>0</v>
      </c>
      <c r="AL18" s="41">
        <f t="shared" si="3"/>
        <v>0</v>
      </c>
      <c r="AM18" s="41">
        <f t="shared" si="3"/>
        <v>0</v>
      </c>
      <c r="AN18" s="41">
        <f t="shared" si="4"/>
        <v>0</v>
      </c>
      <c r="AO18" s="41">
        <f t="shared" si="5"/>
        <v>0</v>
      </c>
      <c r="AP18" s="76">
        <f>'Actual Attachment H'!$I$129</f>
        <v>0.28261465030055971</v>
      </c>
      <c r="AQ18" s="41">
        <f t="shared" si="6"/>
        <v>0</v>
      </c>
      <c r="AR18" s="41">
        <f>AO18+AQ18</f>
        <v>0</v>
      </c>
      <c r="AS18" s="48" t="s">
        <v>357</v>
      </c>
    </row>
    <row r="19" spans="1:45" s="6" customFormat="1" x14ac:dyDescent="0.25">
      <c r="A19" s="88">
        <v>2</v>
      </c>
      <c r="B19" s="89" t="str">
        <f>"Total Incentive Return Return and Taxes (Sum Lns. "&amp;A12&amp;" through "&amp;A18&amp;")"</f>
        <v>Total Incentive Return Return and Taxes (Sum Lns. 1a through 1zz)</v>
      </c>
      <c r="C19" s="89"/>
      <c r="D19" s="90"/>
      <c r="E19" s="89"/>
      <c r="F19" s="90"/>
      <c r="G19" s="89"/>
      <c r="H19" s="89"/>
      <c r="I19" s="89"/>
      <c r="J19" s="158">
        <f t="shared" ref="J19:AR19" si="8">SUM(J12:J18)</f>
        <v>0</v>
      </c>
      <c r="K19" s="90">
        <f t="shared" si="8"/>
        <v>0</v>
      </c>
      <c r="L19" s="90">
        <f t="shared" si="8"/>
        <v>0</v>
      </c>
      <c r="M19" s="90">
        <f t="shared" si="8"/>
        <v>0</v>
      </c>
      <c r="N19" s="90">
        <f t="shared" si="8"/>
        <v>0</v>
      </c>
      <c r="O19" s="90">
        <f t="shared" si="8"/>
        <v>0</v>
      </c>
      <c r="P19" s="90">
        <f t="shared" si="8"/>
        <v>0</v>
      </c>
      <c r="Q19" s="90">
        <f t="shared" si="8"/>
        <v>0</v>
      </c>
      <c r="R19" s="90">
        <f t="shared" si="8"/>
        <v>0</v>
      </c>
      <c r="S19" s="90">
        <f t="shared" si="8"/>
        <v>0</v>
      </c>
      <c r="T19" s="90">
        <f t="shared" si="8"/>
        <v>0</v>
      </c>
      <c r="U19" s="90">
        <f t="shared" si="8"/>
        <v>0</v>
      </c>
      <c r="V19" s="152">
        <f t="shared" si="8"/>
        <v>0</v>
      </c>
      <c r="W19" s="90">
        <f t="shared" ref="W19:AI19" si="9">SUM(W12:W18)</f>
        <v>0</v>
      </c>
      <c r="X19" s="90">
        <f t="shared" si="9"/>
        <v>0</v>
      </c>
      <c r="Y19" s="90">
        <f t="shared" si="9"/>
        <v>0</v>
      </c>
      <c r="Z19" s="90">
        <f t="shared" si="9"/>
        <v>0</v>
      </c>
      <c r="AA19" s="90">
        <f t="shared" si="9"/>
        <v>0</v>
      </c>
      <c r="AB19" s="90">
        <f t="shared" si="9"/>
        <v>0</v>
      </c>
      <c r="AC19" s="90">
        <f t="shared" si="9"/>
        <v>0</v>
      </c>
      <c r="AD19" s="90">
        <f t="shared" si="9"/>
        <v>0</v>
      </c>
      <c r="AE19" s="90">
        <f t="shared" si="9"/>
        <v>0</v>
      </c>
      <c r="AF19" s="90">
        <f t="shared" si="9"/>
        <v>0</v>
      </c>
      <c r="AG19" s="90">
        <f t="shared" si="9"/>
        <v>0</v>
      </c>
      <c r="AH19" s="90">
        <f t="shared" si="9"/>
        <v>0</v>
      </c>
      <c r="AI19" s="152">
        <f t="shared" si="9"/>
        <v>0</v>
      </c>
      <c r="AJ19" s="90">
        <f>SUM(AJ12:AJ18)</f>
        <v>0</v>
      </c>
      <c r="AK19" s="90">
        <f t="shared" si="8"/>
        <v>0</v>
      </c>
      <c r="AL19" s="90">
        <f t="shared" si="8"/>
        <v>0</v>
      </c>
      <c r="AM19" s="90">
        <f t="shared" si="8"/>
        <v>0</v>
      </c>
      <c r="AN19" s="90">
        <f t="shared" si="8"/>
        <v>0</v>
      </c>
      <c r="AO19" s="90">
        <f t="shared" si="8"/>
        <v>0</v>
      </c>
      <c r="AP19" s="90"/>
      <c r="AQ19" s="90">
        <f t="shared" si="8"/>
        <v>0</v>
      </c>
      <c r="AR19" s="90">
        <f t="shared" si="8"/>
        <v>0</v>
      </c>
      <c r="AS19" s="89"/>
    </row>
    <row r="20" spans="1:45"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row>
    <row r="21" spans="1:45" ht="5.25" customHeight="1" x14ac:dyDescent="0.25"/>
    <row r="22" spans="1:45" x14ac:dyDescent="0.25">
      <c r="A22" s="22" t="str">
        <f>note</f>
        <v>Notes and Sources:</v>
      </c>
    </row>
    <row r="23" spans="1:45" ht="18.75" x14ac:dyDescent="0.25">
      <c r="A23" s="23">
        <v>1</v>
      </c>
      <c r="B23" s="274" t="str">
        <f>"Unless otherwise stated, source of shaded cells is company input/records. Lines "&amp;A12&amp;" through "&amp;A18&amp;" represent adjustable lines that may be expanded/compressed on an annual basis to provide for a sufficient breakout of incentive plant return and income taxes."</f>
        <v>Unless otherwise stated, source of shaded cells is company input/records. Lines 1a through 1zz represent adjustable lines that may be expanded/compressed on an annual basis to provide for a sufficient breakout of incentive plant return and income taxes.</v>
      </c>
      <c r="C23" s="274"/>
      <c r="D23" s="274"/>
    </row>
    <row r="24" spans="1:45" ht="15.75" customHeight="1" x14ac:dyDescent="0.25">
      <c r="A24" s="23"/>
      <c r="B24" s="274"/>
      <c r="C24" s="274"/>
      <c r="D24" s="274"/>
    </row>
    <row r="25" spans="1:45" ht="15.75" customHeight="1" x14ac:dyDescent="0.25">
      <c r="A25" s="23"/>
      <c r="B25" s="274"/>
      <c r="C25" s="274"/>
      <c r="D25" s="274"/>
    </row>
    <row r="26" spans="1:45" ht="15.75" customHeight="1" x14ac:dyDescent="0.25">
      <c r="A26" s="85">
        <v>2</v>
      </c>
      <c r="B26" s="274" t="s">
        <v>738</v>
      </c>
      <c r="C26" s="274"/>
      <c r="D26" s="274"/>
    </row>
    <row r="27" spans="1:45" ht="15.75" customHeight="1" x14ac:dyDescent="0.25">
      <c r="A27" s="85"/>
      <c r="B27" s="274"/>
      <c r="C27" s="274"/>
      <c r="D27" s="274"/>
    </row>
    <row r="28" spans="1:45" ht="15.75" customHeight="1" x14ac:dyDescent="0.25">
      <c r="A28" s="85"/>
      <c r="B28" s="274"/>
      <c r="C28" s="274"/>
      <c r="D28" s="274"/>
    </row>
    <row r="29" spans="1:45" ht="15.75" customHeight="1" x14ac:dyDescent="0.25">
      <c r="A29" s="85">
        <v>3</v>
      </c>
      <c r="B29" s="86" t="str">
        <f>"Source: "&amp;'A18 (Cost of Capital)'!I1&amp;", line "&amp;'A18 (Cost of Capital)'!A28&amp;", column [f]."</f>
        <v>Source: Worksheet A18, line 16, column [f].</v>
      </c>
      <c r="C29" s="86"/>
      <c r="D29" s="86"/>
    </row>
    <row r="30" spans="1:45" ht="15.75" customHeight="1" x14ac:dyDescent="0.25">
      <c r="A30" s="85">
        <v>4</v>
      </c>
      <c r="B30" s="86" t="str">
        <f>"Source: "&amp;'Actual Attachment H'!I1&amp;", line "&amp;'Actual Attachment H'!A129&amp;"."</f>
        <v>Source: Attachment H (Actuals), line 78.</v>
      </c>
      <c r="C30" s="86"/>
      <c r="D30" s="86"/>
    </row>
    <row r="31" spans="1:45" ht="15.75" customHeight="1" x14ac:dyDescent="0.25">
      <c r="A31" s="85">
        <v>5</v>
      </c>
      <c r="B31" s="274" t="str">
        <f>"Only network allocator codes listed on "&amp;'A22 (Allocation Factors)'!F1&amp;" may be inputed."</f>
        <v>Only network allocator codes listed on Worksheet A22 may be inputed.</v>
      </c>
      <c r="C31" s="274"/>
      <c r="D31" s="274"/>
    </row>
    <row r="32" spans="1:45" ht="15.75" customHeight="1" x14ac:dyDescent="0.25">
      <c r="A32" s="85"/>
      <c r="B32" s="274"/>
      <c r="C32" s="274"/>
      <c r="D32" s="274"/>
    </row>
    <row r="33" spans="1:45" ht="5.25" customHeight="1" thickBot="1" x14ac:dyDescent="0.3">
      <c r="A33" s="2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row>
    <row r="34" spans="1:45" ht="5.25" customHeight="1" thickTop="1" x14ac:dyDescent="0.25"/>
  </sheetData>
  <mergeCells count="25">
    <mergeCell ref="A7:A9"/>
    <mergeCell ref="B7:B8"/>
    <mergeCell ref="C7:C8"/>
    <mergeCell ref="D7:D8"/>
    <mergeCell ref="AS7:AS8"/>
    <mergeCell ref="AK7:AK8"/>
    <mergeCell ref="AL7:AL8"/>
    <mergeCell ref="AN7:AN8"/>
    <mergeCell ref="AO7:AO8"/>
    <mergeCell ref="AP7:AP8"/>
    <mergeCell ref="AQ7:AQ8"/>
    <mergeCell ref="AR7:AR8"/>
    <mergeCell ref="B31:D32"/>
    <mergeCell ref="AJ7:AJ8"/>
    <mergeCell ref="AM7:AM8"/>
    <mergeCell ref="B23:D25"/>
    <mergeCell ref="B26:D28"/>
    <mergeCell ref="E7:E8"/>
    <mergeCell ref="F7:F8"/>
    <mergeCell ref="G7:G8"/>
    <mergeCell ref="H7:I7"/>
    <mergeCell ref="J7:O7"/>
    <mergeCell ref="P7:V7"/>
    <mergeCell ref="W7:Z7"/>
    <mergeCell ref="AA7:AI7"/>
  </mergeCells>
  <pageMargins left="0.7" right="0.7" top="0.75" bottom="0.75" header="0.3" footer="0.3"/>
  <pageSetup scale="55" fitToWidth="5" orientation="landscape" horizontalDpi="1200" verticalDpi="1200" r:id="rId1"/>
  <headerFooter>
    <oddFooter>&amp;L&amp;6{W0327924.2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F49"/>
  <sheetViews>
    <sheetView workbookViewId="0"/>
  </sheetViews>
  <sheetFormatPr defaultRowHeight="15.75" x14ac:dyDescent="0.25"/>
  <cols>
    <col min="1" max="1" width="5" style="1" customWidth="1"/>
    <col min="2" max="2" width="36.75" customWidth="1"/>
    <col min="3" max="3" width="35.75" customWidth="1"/>
    <col min="4" max="4" width="6" customWidth="1"/>
    <col min="5" max="5" width="3.125" customWidth="1"/>
    <col min="6" max="6" width="15" customWidth="1"/>
  </cols>
  <sheetData>
    <row r="1" spans="1:6" x14ac:dyDescent="0.25">
      <c r="A1" s="6" t="str">
        <f>epe</f>
        <v>El Paso Electric Company</v>
      </c>
      <c r="F1" s="8" t="s">
        <v>802</v>
      </c>
    </row>
    <row r="2" spans="1:6" x14ac:dyDescent="0.25">
      <c r="A2" t="str">
        <f>frta</f>
        <v>Formula Rate Template (Actuals)</v>
      </c>
    </row>
    <row r="3" spans="1:6" x14ac:dyDescent="0.25">
      <c r="A3" t="s">
        <v>327</v>
      </c>
    </row>
    <row r="4" spans="1:6" x14ac:dyDescent="0.25">
      <c r="A4" t="str">
        <f>"12 Months Ended December 31, "&amp;YEAR('A1 (FF1 Inputs)'!$E$12)</f>
        <v>12 Months Ended December 31, 2020</v>
      </c>
    </row>
    <row r="5" spans="1:6" ht="5.25" customHeight="1" thickBot="1" x14ac:dyDescent="0.3">
      <c r="A5" s="4"/>
      <c r="B5" s="4"/>
      <c r="C5" s="4"/>
      <c r="D5" s="4"/>
      <c r="E5" s="4"/>
      <c r="F5" s="4"/>
    </row>
    <row r="6" spans="1:6" ht="5.25" customHeight="1" thickTop="1" x14ac:dyDescent="0.25">
      <c r="A6"/>
    </row>
    <row r="7" spans="1:6" s="3" customFormat="1" ht="15.75" customHeight="1" x14ac:dyDescent="0.25">
      <c r="A7" s="267" t="str">
        <f>ln</f>
        <v>Line No.</v>
      </c>
      <c r="B7" s="266" t="str">
        <f>des</f>
        <v>Description</v>
      </c>
      <c r="C7" s="266" t="str">
        <f>ref</f>
        <v>Reference</v>
      </c>
      <c r="D7" s="266" t="s">
        <v>5</v>
      </c>
      <c r="F7" s="266" t="s">
        <v>328</v>
      </c>
    </row>
    <row r="8" spans="1:6" s="3" customFormat="1" x14ac:dyDescent="0.25">
      <c r="A8" s="267"/>
      <c r="B8" s="266"/>
      <c r="C8" s="266"/>
      <c r="D8" s="266"/>
      <c r="F8" s="266"/>
    </row>
    <row r="9" spans="1:6" s="1" customFormat="1" x14ac:dyDescent="0.25">
      <c r="A9" s="267"/>
      <c r="B9" s="1" t="s">
        <v>7</v>
      </c>
      <c r="C9" s="1" t="s">
        <v>8</v>
      </c>
      <c r="D9" s="1" t="s">
        <v>9</v>
      </c>
      <c r="F9" s="1" t="s">
        <v>10</v>
      </c>
    </row>
    <row r="10" spans="1:6" ht="5.25" customHeight="1" x14ac:dyDescent="0.25">
      <c r="A10" s="5"/>
      <c r="B10" s="5"/>
      <c r="C10" s="5"/>
      <c r="D10" s="5"/>
      <c r="E10" s="5"/>
      <c r="F10" s="5"/>
    </row>
    <row r="11" spans="1:6" ht="5.25" customHeight="1" x14ac:dyDescent="0.25">
      <c r="A11"/>
    </row>
    <row r="12" spans="1:6" ht="18.75" x14ac:dyDescent="0.25">
      <c r="A12" s="1">
        <f>1</f>
        <v>1</v>
      </c>
      <c r="B12" t="s">
        <v>364</v>
      </c>
      <c r="C12" t="s">
        <v>714</v>
      </c>
      <c r="D12" s="1" t="s">
        <v>41</v>
      </c>
      <c r="E12" s="25" t="s">
        <v>329</v>
      </c>
      <c r="F12" s="26">
        <v>1</v>
      </c>
    </row>
    <row r="14" spans="1:6" ht="18.75" x14ac:dyDescent="0.25">
      <c r="A14" s="1">
        <f>A12+1</f>
        <v>2</v>
      </c>
      <c r="B14" t="s">
        <v>365</v>
      </c>
      <c r="C14" t="s">
        <v>714</v>
      </c>
      <c r="D14" s="1" t="s">
        <v>29</v>
      </c>
      <c r="E14" s="25" t="s">
        <v>329</v>
      </c>
      <c r="F14" s="26">
        <v>0</v>
      </c>
    </row>
    <row r="16" spans="1:6" x14ac:dyDescent="0.25">
      <c r="B16" s="21" t="s">
        <v>22</v>
      </c>
    </row>
    <row r="17" spans="1:6" x14ac:dyDescent="0.25">
      <c r="A17" s="1">
        <f>A14+1</f>
        <v>3</v>
      </c>
      <c r="B17" t="s">
        <v>366</v>
      </c>
      <c r="C17" t="str">
        <f>'Actual Attachment H'!$I$1&amp;", Ln. "&amp;'Actual Attachment H'!A42&amp;", Col. [c]"</f>
        <v>Attachment H (Actuals), Ln. 19, Col. [c]</v>
      </c>
      <c r="F17" s="10">
        <f>'Actual Attachment H'!I42</f>
        <v>649180996.18729162</v>
      </c>
    </row>
    <row r="18" spans="1:6" x14ac:dyDescent="0.25">
      <c r="A18" s="1">
        <f>A17+1</f>
        <v>4</v>
      </c>
      <c r="B18" t="s">
        <v>331</v>
      </c>
      <c r="C18" t="str">
        <f>'Actual Attachment H'!$I$1&amp;", Ln. "&amp;'Actual Attachment H'!A42&amp;", Col. [f]"</f>
        <v>Attachment H (Actuals), Ln. 19, Col. [f]</v>
      </c>
      <c r="F18" s="10">
        <f>'Actual Attachment H'!D42</f>
        <v>5495074837.1538467</v>
      </c>
    </row>
    <row r="19" spans="1:6" ht="7.5" customHeight="1" x14ac:dyDescent="0.25">
      <c r="F19" s="10"/>
    </row>
    <row r="20" spans="1:6" x14ac:dyDescent="0.25">
      <c r="A20" s="1">
        <f>A18+1</f>
        <v>5</v>
      </c>
      <c r="B20" t="s">
        <v>330</v>
      </c>
      <c r="C20" t="str">
        <f>"Lns. ("&amp;A17&amp;" / "&amp;A18&amp;")"</f>
        <v>Lns. (3 / 4)</v>
      </c>
      <c r="D20" s="1" t="s">
        <v>42</v>
      </c>
      <c r="E20" s="25" t="s">
        <v>329</v>
      </c>
      <c r="F20" s="26">
        <f>IFERROR(F17/F18,0)</f>
        <v>0.1181386997312547</v>
      </c>
    </row>
    <row r="22" spans="1:6" x14ac:dyDescent="0.25">
      <c r="B22" s="21" t="s">
        <v>28</v>
      </c>
    </row>
    <row r="23" spans="1:6" x14ac:dyDescent="0.25">
      <c r="A23" s="1">
        <f>A20+1</f>
        <v>6</v>
      </c>
      <c r="B23" t="s">
        <v>366</v>
      </c>
      <c r="C23" t="str">
        <f>'Actual Attachment H'!$I$1&amp;", Ln. "&amp;'Actual Attachment H'!A56&amp;", Col. [c]"</f>
        <v>Attachment H (Actuals), Ln. 29, Col. [c]</v>
      </c>
      <c r="F23" s="10">
        <f>'Actual Attachment H'!I56</f>
        <v>370916170.8281582</v>
      </c>
    </row>
    <row r="24" spans="1:6" x14ac:dyDescent="0.25">
      <c r="A24" s="1">
        <f>A23+1</f>
        <v>7</v>
      </c>
      <c r="B24" t="s">
        <v>331</v>
      </c>
      <c r="C24" t="str">
        <f>'Actual Attachment H'!$I$1&amp;", Ln. "&amp;'Actual Attachment H'!A56&amp;", Col. [f]"</f>
        <v>Attachment H (Actuals), Ln. 29, Col. [f]</v>
      </c>
      <c r="F24" s="10">
        <f>'Actual Attachment H'!D56</f>
        <v>3057233661.9221539</v>
      </c>
    </row>
    <row r="25" spans="1:6" ht="7.5" customHeight="1" x14ac:dyDescent="0.25">
      <c r="F25" s="10"/>
    </row>
    <row r="26" spans="1:6" x14ac:dyDescent="0.25">
      <c r="A26" s="1">
        <f>A24+1</f>
        <v>8</v>
      </c>
      <c r="B26" t="s">
        <v>332</v>
      </c>
      <c r="C26" t="str">
        <f>"Lns. ("&amp;A23&amp;" / "&amp;A24&amp;")"</f>
        <v>Lns. (6 / 7)</v>
      </c>
      <c r="D26" s="1" t="s">
        <v>333</v>
      </c>
      <c r="E26" s="25" t="s">
        <v>329</v>
      </c>
      <c r="F26" s="26">
        <f>IFERROR(F23/F24,0)</f>
        <v>0.12132411580047649</v>
      </c>
    </row>
    <row r="28" spans="1:6" x14ac:dyDescent="0.25">
      <c r="B28" s="21" t="s">
        <v>334</v>
      </c>
    </row>
    <row r="29" spans="1:6" x14ac:dyDescent="0.25">
      <c r="A29" s="1">
        <f>A26+1</f>
        <v>9</v>
      </c>
      <c r="B29" t="s">
        <v>366</v>
      </c>
      <c r="C29" t="str">
        <f>'A4 (Plant)'!$J$1&amp;", Lns. ("&amp;'A4 (Plant)'!$A$26&amp;" - "&amp;'A4 (Plant)'!A43&amp;")"</f>
        <v>Worksheet A4, Lns. (15 - 30)</v>
      </c>
      <c r="F29" s="10">
        <f>'A4 (Plant)'!E26-'A4 (Plant)'!E43</f>
        <v>557524375.12923074</v>
      </c>
    </row>
    <row r="30" spans="1:6" x14ac:dyDescent="0.25">
      <c r="A30" s="1">
        <f>A29+1</f>
        <v>10</v>
      </c>
      <c r="B30" t="s">
        <v>331</v>
      </c>
      <c r="C30" t="str">
        <f>'Actual Attachment H'!$I$1&amp;", Ln. "&amp;'Actual Attachment H'!A39&amp;", Col. [c]"</f>
        <v>Attachment H (Actuals), Ln. 16, Col. [c]</v>
      </c>
      <c r="F30" s="10">
        <f>'Actual Attachment H'!D39</f>
        <v>562544677.30769229</v>
      </c>
    </row>
    <row r="31" spans="1:6" ht="7.5" customHeight="1" x14ac:dyDescent="0.25">
      <c r="F31" s="10"/>
    </row>
    <row r="32" spans="1:6" x14ac:dyDescent="0.25">
      <c r="A32" s="1">
        <f>A30+1</f>
        <v>11</v>
      </c>
      <c r="B32" t="s">
        <v>335</v>
      </c>
      <c r="C32" t="str">
        <f>"Lns. ("&amp;A29&amp;" / "&amp;A30&amp;")"</f>
        <v>Lns. (9 / 10)</v>
      </c>
      <c r="D32" s="1" t="s">
        <v>16</v>
      </c>
      <c r="E32" s="25" t="s">
        <v>329</v>
      </c>
      <c r="F32" s="26">
        <f>IFERROR(F29/F30,0)</f>
        <v>0.99107572717159387</v>
      </c>
    </row>
    <row r="34" spans="1:6" x14ac:dyDescent="0.25">
      <c r="B34" s="21" t="s">
        <v>336</v>
      </c>
    </row>
    <row r="35" spans="1:6" x14ac:dyDescent="0.25">
      <c r="A35" s="1">
        <f>A32+1</f>
        <v>12</v>
      </c>
      <c r="B35" t="s">
        <v>337</v>
      </c>
      <c r="C35" t="str">
        <f>'A1 (FF1 Inputs)'!$E$1&amp;", Ln. "&amp;'A1 (FF1 Inputs)'!A102</f>
        <v>Worksheet A1, Ln. 69</v>
      </c>
      <c r="F35" s="10">
        <f>'A1 (FF1 Inputs)'!E102</f>
        <v>17097034</v>
      </c>
    </row>
    <row r="36" spans="1:6" x14ac:dyDescent="0.25">
      <c r="A36" s="1">
        <f>A35+1</f>
        <v>13</v>
      </c>
      <c r="B36" t="s">
        <v>209</v>
      </c>
      <c r="C36" t="str">
        <f>'A1 (FF1 Inputs)'!$E$1&amp;", Ln. "&amp;'A1 (FF1 Inputs)'!A103</f>
        <v>Worksheet A1, Ln. 70</v>
      </c>
      <c r="F36" s="10">
        <f>'A1 (FF1 Inputs)'!E103</f>
        <v>10826624</v>
      </c>
    </row>
    <row r="37" spans="1:6" x14ac:dyDescent="0.25">
      <c r="A37" s="1">
        <f>A36+1</f>
        <v>14</v>
      </c>
      <c r="B37" t="s">
        <v>210</v>
      </c>
      <c r="C37" t="str">
        <f>'A1 (FF1 Inputs)'!$E$1&amp;", Ln. "&amp;'A1 (FF1 Inputs)'!A104</f>
        <v>Worksheet A1, Ln. 71</v>
      </c>
      <c r="F37" s="10">
        <f>'A1 (FF1 Inputs)'!E104</f>
        <v>14677499</v>
      </c>
    </row>
    <row r="38" spans="1:6" x14ac:dyDescent="0.25">
      <c r="A38" s="1">
        <f t="shared" ref="A38" si="0">A37+1</f>
        <v>15</v>
      </c>
      <c r="B38" t="s">
        <v>62</v>
      </c>
      <c r="C38" t="str">
        <f>'A1 (FF1 Inputs)'!$E$1&amp;", Lns. ("&amp;'A1 (FF1 Inputs)'!A105&amp;" + "&amp;'A1 (FF1 Inputs)'!A106&amp;" + "&amp;'A1 (FF1 Inputs)'!A107&amp;")"</f>
        <v>Worksheet A1, Lns. (72 + 73 + 74)</v>
      </c>
      <c r="F38" s="10">
        <f>'A1 (FF1 Inputs)'!E105+'A1 (FF1 Inputs)'!E106+'A1 (FF1 Inputs)'!E107</f>
        <v>8782285</v>
      </c>
    </row>
    <row r="39" spans="1:6" x14ac:dyDescent="0.25">
      <c r="A39" s="1">
        <f>A38+1</f>
        <v>16</v>
      </c>
      <c r="B39" t="s">
        <v>283</v>
      </c>
      <c r="C39" t="str">
        <f>"Sum Lns. ("&amp;A35&amp;" through "&amp;A38&amp;")"</f>
        <v>Sum Lns. (12 through 15)</v>
      </c>
      <c r="F39" s="11">
        <f>SUM(F35:F38)</f>
        <v>51383442</v>
      </c>
    </row>
    <row r="41" spans="1:6" x14ac:dyDescent="0.25">
      <c r="A41" s="1">
        <f>A39+1</f>
        <v>17</v>
      </c>
      <c r="B41" t="s">
        <v>366</v>
      </c>
      <c r="C41" t="str">
        <f>"Lns. ("&amp;A32&amp;" x "&amp;A36&amp;")"</f>
        <v>Lns. (11 x 13)</v>
      </c>
      <c r="F41" s="10">
        <f>F32*F36</f>
        <v>10730004.253613431</v>
      </c>
    </row>
    <row r="43" spans="1:6" x14ac:dyDescent="0.25">
      <c r="A43" s="1">
        <f>A41+1</f>
        <v>18</v>
      </c>
      <c r="B43" t="s">
        <v>338</v>
      </c>
      <c r="C43" t="str">
        <f>"Lns. ("&amp;A41&amp;" / "&amp;A39&amp;")"</f>
        <v>Lns. (17 / 16)</v>
      </c>
      <c r="D43" s="1" t="s">
        <v>288</v>
      </c>
      <c r="E43" s="25" t="s">
        <v>329</v>
      </c>
      <c r="F43" s="30">
        <f>IFERROR(F41/F39,0)</f>
        <v>0.20882221657345243</v>
      </c>
    </row>
    <row r="44" spans="1:6" ht="5.25" customHeight="1" x14ac:dyDescent="0.25">
      <c r="A44" s="14"/>
      <c r="B44" s="5"/>
      <c r="C44" s="5"/>
      <c r="D44" s="5"/>
      <c r="E44" s="5"/>
      <c r="F44" s="5"/>
    </row>
    <row r="45" spans="1:6" ht="5.25" customHeight="1" x14ac:dyDescent="0.25"/>
    <row r="46" spans="1:6" x14ac:dyDescent="0.25">
      <c r="A46" s="22" t="str">
        <f>note</f>
        <v>Notes and Sources:</v>
      </c>
    </row>
    <row r="47" spans="1:6" ht="18.75" x14ac:dyDescent="0.25">
      <c r="A47" s="23">
        <v>1</v>
      </c>
      <c r="B47" t="s">
        <v>1003</v>
      </c>
    </row>
    <row r="48" spans="1:6" ht="5.25" customHeight="1" thickBot="1" x14ac:dyDescent="0.3">
      <c r="A48" s="24"/>
      <c r="B48" s="4"/>
      <c r="C48" s="4"/>
      <c r="D48" s="4"/>
      <c r="E48" s="4"/>
      <c r="F48" s="4"/>
    </row>
    <row r="49" ht="5.25" customHeight="1" thickTop="1" x14ac:dyDescent="0.25"/>
  </sheetData>
  <mergeCells count="5">
    <mergeCell ref="A7:A9"/>
    <mergeCell ref="B7:B8"/>
    <mergeCell ref="C7:C8"/>
    <mergeCell ref="D7:D8"/>
    <mergeCell ref="F7:F8"/>
  </mergeCells>
  <pageMargins left="0.7" right="0.7" top="0.75" bottom="0.75" header="0.3" footer="0.3"/>
  <pageSetup scale="83" orientation="portrait" horizontalDpi="1200" verticalDpi="1200" r:id="rId1"/>
  <headerFooter>
    <oddFooter>&amp;L&amp;6{W0327924.2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E42"/>
  <sheetViews>
    <sheetView workbookViewId="0"/>
  </sheetViews>
  <sheetFormatPr defaultRowHeight="15.75" x14ac:dyDescent="0.25"/>
  <cols>
    <col min="1" max="1" width="5" customWidth="1"/>
    <col min="3" max="3" width="54.125" customWidth="1"/>
    <col min="4" max="4" width="30.5" customWidth="1"/>
    <col min="5" max="5" width="15.75" customWidth="1"/>
    <col min="7" max="7" width="12.75" customWidth="1"/>
    <col min="8" max="8" width="14.375" customWidth="1"/>
    <col min="9" max="9" width="10.25" customWidth="1"/>
  </cols>
  <sheetData>
    <row r="1" spans="1:5" x14ac:dyDescent="0.25">
      <c r="A1" s="6" t="str">
        <f>epe</f>
        <v>El Paso Electric Company</v>
      </c>
      <c r="E1" s="8" t="s">
        <v>1060</v>
      </c>
    </row>
    <row r="2" spans="1:5" x14ac:dyDescent="0.25">
      <c r="A2" t="str">
        <f>frta</f>
        <v>Formula Rate Template (Actuals)</v>
      </c>
    </row>
    <row r="3" spans="1:5" x14ac:dyDescent="0.25">
      <c r="A3" t="s">
        <v>1061</v>
      </c>
    </row>
    <row r="4" spans="1:5" x14ac:dyDescent="0.25">
      <c r="A4" t="str">
        <f>"12 Months Ended December 31, "&amp;YEAR('A1 (FF1 Inputs)'!$E$12)</f>
        <v>12 Months Ended December 31, 2020</v>
      </c>
    </row>
    <row r="5" spans="1:5" ht="5.25" customHeight="1" thickBot="1" x14ac:dyDescent="0.3">
      <c r="A5" s="4"/>
      <c r="B5" s="4"/>
      <c r="C5" s="4"/>
      <c r="D5" s="4"/>
      <c r="E5" s="4"/>
    </row>
    <row r="6" spans="1:5" ht="5.25" customHeight="1" thickTop="1" x14ac:dyDescent="0.25"/>
    <row r="7" spans="1:5" s="40" customFormat="1" ht="31.5" x14ac:dyDescent="0.25">
      <c r="A7" s="40" t="str">
        <f>ln</f>
        <v>Line No.</v>
      </c>
      <c r="B7" s="40" t="s">
        <v>843</v>
      </c>
      <c r="C7" s="40" t="s">
        <v>2</v>
      </c>
      <c r="D7" s="40" t="s">
        <v>3</v>
      </c>
      <c r="E7" s="40" t="s">
        <v>844</v>
      </c>
    </row>
    <row r="8" spans="1:5" s="40" customFormat="1" x14ac:dyDescent="0.25">
      <c r="B8" s="40" t="s">
        <v>7</v>
      </c>
      <c r="C8" s="40" t="s">
        <v>8</v>
      </c>
      <c r="D8" s="40" t="s">
        <v>9</v>
      </c>
      <c r="E8" s="40" t="s">
        <v>10</v>
      </c>
    </row>
    <row r="9" spans="1:5" ht="5.25" customHeight="1" x14ac:dyDescent="0.25">
      <c r="A9" s="5"/>
      <c r="B9" s="5"/>
      <c r="C9" s="5"/>
      <c r="D9" s="5"/>
      <c r="E9" s="5"/>
    </row>
    <row r="10" spans="1:5" ht="5.25" customHeight="1" x14ac:dyDescent="0.25"/>
    <row r="11" spans="1:5" x14ac:dyDescent="0.25">
      <c r="B11" s="6" t="s">
        <v>845</v>
      </c>
    </row>
    <row r="12" spans="1:5" x14ac:dyDescent="0.25">
      <c r="A12" s="1">
        <f>1</f>
        <v>1</v>
      </c>
      <c r="B12" s="1">
        <v>561</v>
      </c>
      <c r="C12" t="s">
        <v>846</v>
      </c>
      <c r="D12" t="str">
        <f>'A1 (FF1 Inputs)'!$E$1&amp;", Lns. ("&amp;'A1 (FF1 Inputs)'!A77&amp;" through "&amp;'A1 (FF1 Inputs)'!A84&amp;")"</f>
        <v>Worksheet A1, Lns. (48 through 55)</v>
      </c>
      <c r="E12" s="10">
        <f>SUM('A1 (FF1 Inputs)'!E77:E84)</f>
        <v>3483962</v>
      </c>
    </row>
    <row r="13" spans="1:5" x14ac:dyDescent="0.25">
      <c r="A13" s="1">
        <f>A12+1</f>
        <v>2</v>
      </c>
      <c r="B13" s="1">
        <v>561.4</v>
      </c>
      <c r="C13" s="7" t="s">
        <v>847</v>
      </c>
      <c r="D13" t="str">
        <f>'A1 (FF1 Inputs)'!$E$1&amp;", Ln. "&amp;'A1 (FF1 Inputs)'!A80</f>
        <v>Worksheet A1, Ln. 51</v>
      </c>
      <c r="E13" s="10">
        <f>'A1 (FF1 Inputs)'!E80</f>
        <v>652858</v>
      </c>
    </row>
    <row r="14" spans="1:5" x14ac:dyDescent="0.25">
      <c r="A14" s="1">
        <f t="shared" ref="A14:A18" si="0">A13+1</f>
        <v>3</v>
      </c>
      <c r="B14" s="1">
        <v>561.5</v>
      </c>
      <c r="C14" s="7" t="s">
        <v>853</v>
      </c>
      <c r="D14" t="str">
        <f>'A1 (FF1 Inputs)'!$E$1&amp;", Ln. "&amp;'A1 (FF1 Inputs)'!A81</f>
        <v>Worksheet A1, Ln. 52</v>
      </c>
      <c r="E14" s="10">
        <f>'A1 (FF1 Inputs)'!E81</f>
        <v>678638</v>
      </c>
    </row>
    <row r="15" spans="1:5" x14ac:dyDescent="0.25">
      <c r="A15" s="1">
        <f t="shared" si="0"/>
        <v>4</v>
      </c>
      <c r="B15" s="1">
        <v>561.6</v>
      </c>
      <c r="C15" s="7" t="s">
        <v>854</v>
      </c>
      <c r="D15" t="str">
        <f>'A1 (FF1 Inputs)'!$E$1&amp;", Ln. "&amp;'A1 (FF1 Inputs)'!A82</f>
        <v>Worksheet A1, Ln. 53</v>
      </c>
      <c r="E15" s="10">
        <f>'A1 (FF1 Inputs)'!E82</f>
        <v>0</v>
      </c>
    </row>
    <row r="16" spans="1:5" x14ac:dyDescent="0.25">
      <c r="A16" s="1">
        <f t="shared" si="0"/>
        <v>5</v>
      </c>
      <c r="B16" s="1">
        <v>561.70000000000005</v>
      </c>
      <c r="C16" s="7" t="s">
        <v>855</v>
      </c>
      <c r="D16" t="str">
        <f>'A1 (FF1 Inputs)'!$E$1&amp;", Ln. "&amp;'A1 (FF1 Inputs)'!A83</f>
        <v>Worksheet A1, Ln. 54</v>
      </c>
      <c r="E16" s="10">
        <f>'A1 (FF1 Inputs)'!E83</f>
        <v>0</v>
      </c>
    </row>
    <row r="17" spans="1:5" x14ac:dyDescent="0.25">
      <c r="A17" s="1">
        <f t="shared" si="0"/>
        <v>6</v>
      </c>
      <c r="B17" s="1">
        <v>561.79999999999995</v>
      </c>
      <c r="C17" s="7" t="s">
        <v>856</v>
      </c>
      <c r="D17" t="str">
        <f>'A1 (FF1 Inputs)'!$E$1&amp;", Ln. "&amp;'A1 (FF1 Inputs)'!A84</f>
        <v>Worksheet A1, Ln. 55</v>
      </c>
      <c r="E17" s="64">
        <f>'A1 (FF1 Inputs)'!E84</f>
        <v>0</v>
      </c>
    </row>
    <row r="18" spans="1:5" x14ac:dyDescent="0.25">
      <c r="A18" s="1">
        <f t="shared" si="0"/>
        <v>7</v>
      </c>
      <c r="B18" s="1"/>
      <c r="C18" t="s">
        <v>848</v>
      </c>
      <c r="D18" t="str">
        <f>"Sum Lns. ("&amp;A12&amp;" through "&amp;A17&amp;")"</f>
        <v>Sum Lns. (1 through 6)</v>
      </c>
      <c r="E18" s="10">
        <f>E12-SUM(E13:E17)</f>
        <v>2152466</v>
      </c>
    </row>
    <row r="19" spans="1:5" x14ac:dyDescent="0.25">
      <c r="B19" s="1"/>
    </row>
    <row r="20" spans="1:5" x14ac:dyDescent="0.25">
      <c r="A20" s="1">
        <f>A18+1</f>
        <v>8</v>
      </c>
      <c r="B20" s="1"/>
      <c r="C20" t="s">
        <v>849</v>
      </c>
      <c r="D20" t="s">
        <v>850</v>
      </c>
      <c r="E20" s="37">
        <v>1017317.66</v>
      </c>
    </row>
    <row r="21" spans="1:5" x14ac:dyDescent="0.25">
      <c r="B21" s="1"/>
    </row>
    <row r="22" spans="1:5" x14ac:dyDescent="0.25">
      <c r="A22" s="1">
        <f>A20+1</f>
        <v>9</v>
      </c>
      <c r="B22" s="1"/>
      <c r="C22" t="s">
        <v>851</v>
      </c>
      <c r="D22" t="str">
        <f>"Lns. ("&amp;A18&amp;" - "&amp;A20&amp;")"</f>
        <v>Lns. (7 - 8)</v>
      </c>
      <c r="E22" s="19">
        <f>E18-E20</f>
        <v>1135148.3399999999</v>
      </c>
    </row>
    <row r="23" spans="1:5" x14ac:dyDescent="0.25">
      <c r="B23" s="1"/>
    </row>
    <row r="24" spans="1:5" x14ac:dyDescent="0.25">
      <c r="A24" s="1">
        <f>A22+1</f>
        <v>10</v>
      </c>
      <c r="B24" s="1"/>
      <c r="C24" t="s">
        <v>852</v>
      </c>
      <c r="D24" t="str">
        <f>'A2 (Divisor)'!J1&amp;", Ln. "&amp;'A2 (Divisor)'!A27</f>
        <v>Worksheet A2, Ln. 16</v>
      </c>
      <c r="E24" s="70">
        <f>'A2 (Divisor)'!J27</f>
        <v>2767750</v>
      </c>
    </row>
    <row r="25" spans="1:5" x14ac:dyDescent="0.25">
      <c r="A25" s="1"/>
      <c r="B25" s="1"/>
    </row>
    <row r="26" spans="1:5" x14ac:dyDescent="0.25">
      <c r="A26" s="1"/>
      <c r="B26" s="1"/>
      <c r="C26" s="12" t="s">
        <v>19</v>
      </c>
    </row>
    <row r="27" spans="1:5" x14ac:dyDescent="0.25">
      <c r="A27" s="1">
        <f>A24+1</f>
        <v>11</v>
      </c>
      <c r="B27" s="1"/>
      <c r="C27" s="210" t="s">
        <v>1123</v>
      </c>
      <c r="D27" s="210" t="str">
        <f>"Lns. ("&amp;A22&amp;" / "&amp;A24&amp;")*1,000"</f>
        <v>Lns. (9 / 10)*1,000</v>
      </c>
      <c r="E27" s="233">
        <f>ROUND(E22/E24*1000,2)</f>
        <v>410.13</v>
      </c>
    </row>
    <row r="28" spans="1:5" x14ac:dyDescent="0.25">
      <c r="A28" s="1">
        <f>A27+1</f>
        <v>12</v>
      </c>
      <c r="B28" s="1"/>
      <c r="C28" s="210" t="s">
        <v>1126</v>
      </c>
      <c r="D28" s="210" t="str">
        <f>"Ln. "&amp;$A$27&amp;" / 12.0 Months"</f>
        <v>Ln. 11 / 12.0 Months</v>
      </c>
      <c r="E28" s="233">
        <f>ROUND(E27/12,2)</f>
        <v>34.18</v>
      </c>
    </row>
    <row r="29" spans="1:5" x14ac:dyDescent="0.25">
      <c r="A29" s="1">
        <f t="shared" ref="A29:A33" si="1">A28+1</f>
        <v>13</v>
      </c>
      <c r="B29" s="1"/>
      <c r="C29" s="210" t="s">
        <v>1127</v>
      </c>
      <c r="D29" s="210" t="str">
        <f>"Ln. "&amp;$A$27&amp;" / 52.0 Weeks"</f>
        <v>Ln. 11 / 52.0 Weeks</v>
      </c>
      <c r="E29" s="233">
        <f>ROUND(E27/52,2)</f>
        <v>7.89</v>
      </c>
    </row>
    <row r="30" spans="1:5" x14ac:dyDescent="0.25">
      <c r="A30" s="1">
        <f t="shared" si="1"/>
        <v>14</v>
      </c>
      <c r="B30" s="1"/>
      <c r="C30" s="210" t="s">
        <v>1128</v>
      </c>
      <c r="D30" s="210" t="str">
        <f>"Ln. "&amp;$A$29&amp;" / 6.0 Days"</f>
        <v>Ln. 13 / 6.0 Days</v>
      </c>
      <c r="E30" s="233">
        <f>ROUND(E29/6,2)</f>
        <v>1.32</v>
      </c>
    </row>
    <row r="31" spans="1:5" x14ac:dyDescent="0.25">
      <c r="A31" s="1">
        <f t="shared" si="1"/>
        <v>15</v>
      </c>
      <c r="B31" s="1"/>
      <c r="C31" s="210" t="s">
        <v>1130</v>
      </c>
      <c r="D31" s="210" t="str">
        <f>"Ln. "&amp;$A$29&amp;" / 7.0 Days"</f>
        <v>Ln. 13 / 7.0 Days</v>
      </c>
      <c r="E31" s="233">
        <f>ROUND(E29/7,2)</f>
        <v>1.1299999999999999</v>
      </c>
    </row>
    <row r="32" spans="1:5" x14ac:dyDescent="0.25">
      <c r="A32" s="1">
        <f t="shared" si="1"/>
        <v>16</v>
      </c>
      <c r="B32" s="1"/>
      <c r="C32" s="210" t="s">
        <v>20</v>
      </c>
      <c r="D32" s="210" t="str">
        <f>"Ln. "&amp;$A$30&amp;" / 16.0 Hours"</f>
        <v>Ln. 14 / 16.0 Hours</v>
      </c>
      <c r="E32" s="234">
        <f>ROUND(E30/16,4)</f>
        <v>8.2500000000000004E-2</v>
      </c>
    </row>
    <row r="33" spans="1:5" x14ac:dyDescent="0.25">
      <c r="A33" s="1">
        <f t="shared" si="1"/>
        <v>17</v>
      </c>
      <c r="B33" s="1"/>
      <c r="C33" s="210" t="s">
        <v>21</v>
      </c>
      <c r="D33" s="210" t="str">
        <f>"Ln. "&amp;$A$31&amp;" / 24.0 Hours"</f>
        <v>Ln. 15 / 24.0 Hours</v>
      </c>
      <c r="E33" s="234">
        <f>ROUND(E31/24,4)</f>
        <v>4.7100000000000003E-2</v>
      </c>
    </row>
    <row r="34" spans="1:5" ht="5.25" customHeight="1" thickBot="1" x14ac:dyDescent="0.3">
      <c r="A34" s="4"/>
      <c r="B34" s="24"/>
      <c r="C34" s="4"/>
      <c r="D34" s="4"/>
      <c r="E34" s="4"/>
    </row>
    <row r="35" spans="1:5" ht="5.25" customHeight="1" thickTop="1" x14ac:dyDescent="0.25">
      <c r="B35" s="1"/>
    </row>
    <row r="36" spans="1:5" x14ac:dyDescent="0.25">
      <c r="A36" s="6"/>
      <c r="B36" s="1"/>
    </row>
    <row r="37" spans="1:5" x14ac:dyDescent="0.25">
      <c r="B37" s="1"/>
    </row>
    <row r="38" spans="1:5" x14ac:dyDescent="0.25">
      <c r="B38" s="1"/>
    </row>
    <row r="39" spans="1:5" x14ac:dyDescent="0.25">
      <c r="B39" s="1"/>
    </row>
    <row r="40" spans="1:5" x14ac:dyDescent="0.25">
      <c r="B40" s="1"/>
    </row>
    <row r="41" spans="1:5" x14ac:dyDescent="0.25">
      <c r="B41" s="1"/>
    </row>
    <row r="42" spans="1:5" x14ac:dyDescent="0.25">
      <c r="B42" s="1"/>
    </row>
  </sheetData>
  <pageMargins left="0.7" right="0.7" top="0.75" bottom="0.75" header="0.3" footer="0.3"/>
  <pageSetup orientation="landscape" horizontalDpi="1200" verticalDpi="1200" r:id="rId1"/>
  <headerFooter>
    <oddFooter>&amp;L&amp;6{W0327924.2 }</oddFooter>
  </headerFooter>
  <ignoredErrors>
    <ignoredError sqref="E12" formulaRange="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N166"/>
  <sheetViews>
    <sheetView zoomScale="70" zoomScaleNormal="70" workbookViewId="0">
      <selection activeCell="J25" sqref="J25"/>
    </sheetView>
  </sheetViews>
  <sheetFormatPr defaultRowHeight="15.75" x14ac:dyDescent="0.25"/>
  <cols>
    <col min="1" max="1" width="5.125" customWidth="1"/>
    <col min="2" max="2" width="65.25" customWidth="1"/>
    <col min="3" max="3" width="37.75" bestFit="1" customWidth="1"/>
    <col min="4" max="4" width="16.75" customWidth="1"/>
    <col min="5" max="5" width="2.625" customWidth="1"/>
    <col min="6" max="6" width="6.25" customWidth="1"/>
    <col min="8" max="8" width="2.625" customWidth="1"/>
    <col min="9" max="9" width="16.75" style="10" customWidth="1"/>
    <col min="11" max="11" width="15.875" customWidth="1"/>
    <col min="12" max="12" width="13.625" bestFit="1" customWidth="1"/>
    <col min="13" max="13" width="13.25" customWidth="1"/>
    <col min="14" max="14" width="42.125" customWidth="1"/>
    <col min="15" max="15" width="13.625" bestFit="1" customWidth="1"/>
    <col min="17" max="17" width="10.25" bestFit="1" customWidth="1"/>
    <col min="18" max="18" width="13.625" bestFit="1" customWidth="1"/>
    <col min="19" max="19" width="46.625" customWidth="1"/>
    <col min="20" max="20" width="12.625" bestFit="1" customWidth="1"/>
  </cols>
  <sheetData>
    <row r="1" spans="1:9" x14ac:dyDescent="0.25">
      <c r="A1" s="6" t="s">
        <v>0</v>
      </c>
      <c r="B1" s="6"/>
      <c r="C1" s="6"/>
      <c r="D1" s="6"/>
      <c r="E1" s="6"/>
      <c r="F1" s="6"/>
      <c r="G1" s="6"/>
      <c r="H1" s="6"/>
      <c r="I1" s="8" t="s">
        <v>870</v>
      </c>
    </row>
    <row r="2" spans="1:9" x14ac:dyDescent="0.25">
      <c r="A2" t="s">
        <v>871</v>
      </c>
      <c r="I2"/>
    </row>
    <row r="3" spans="1:9" x14ac:dyDescent="0.25">
      <c r="A3" t="s">
        <v>870</v>
      </c>
      <c r="I3"/>
    </row>
    <row r="4" spans="1:9" x14ac:dyDescent="0.25">
      <c r="A4" t="str">
        <f>"12 Months Ended December 31, "&amp;YEAR('A1 (FF1 Inputs)'!$E$12)+2</f>
        <v>12 Months Ended December 31, 2022</v>
      </c>
      <c r="I4"/>
    </row>
    <row r="5" spans="1:9" ht="5.25" customHeight="1" thickBot="1" x14ac:dyDescent="0.3">
      <c r="A5" s="4"/>
      <c r="B5" s="4"/>
      <c r="C5" s="4"/>
      <c r="D5" s="4"/>
      <c r="E5" s="4"/>
      <c r="F5" s="4"/>
      <c r="G5" s="4"/>
      <c r="H5" s="4"/>
      <c r="I5" s="4"/>
    </row>
    <row r="6" spans="1:9" ht="5.25" customHeight="1" thickTop="1" x14ac:dyDescent="0.25">
      <c r="I6"/>
    </row>
    <row r="7" spans="1:9" s="3" customFormat="1" ht="15.75" customHeight="1" x14ac:dyDescent="0.25">
      <c r="A7" s="267" t="s">
        <v>1</v>
      </c>
      <c r="B7" s="266" t="s">
        <v>2</v>
      </c>
      <c r="C7" s="266" t="s">
        <v>3</v>
      </c>
      <c r="D7" s="266" t="s">
        <v>4</v>
      </c>
      <c r="F7" s="268" t="s">
        <v>1033</v>
      </c>
      <c r="G7" s="268"/>
      <c r="I7" s="266" t="s">
        <v>366</v>
      </c>
    </row>
    <row r="8" spans="1:9" s="3" customFormat="1" x14ac:dyDescent="0.25">
      <c r="A8" s="267"/>
      <c r="B8" s="266"/>
      <c r="C8" s="266"/>
      <c r="D8" s="266"/>
      <c r="F8" s="3" t="s">
        <v>5</v>
      </c>
      <c r="G8" s="3" t="s">
        <v>6</v>
      </c>
      <c r="I8" s="266"/>
    </row>
    <row r="9" spans="1:9" s="1" customFormat="1" ht="18.75" x14ac:dyDescent="0.25">
      <c r="A9" s="267"/>
      <c r="B9" s="1" t="s">
        <v>7</v>
      </c>
      <c r="C9" s="1" t="s">
        <v>1021</v>
      </c>
      <c r="D9" s="1" t="s">
        <v>9</v>
      </c>
      <c r="F9" s="1" t="s">
        <v>10</v>
      </c>
      <c r="G9" s="1" t="s">
        <v>11</v>
      </c>
      <c r="I9" s="1" t="s">
        <v>325</v>
      </c>
    </row>
    <row r="10" spans="1:9" ht="5.25" customHeight="1" x14ac:dyDescent="0.25">
      <c r="A10" s="5"/>
      <c r="B10" s="5"/>
      <c r="C10" s="5"/>
      <c r="D10" s="5"/>
      <c r="E10" s="5"/>
      <c r="F10" s="5"/>
      <c r="G10" s="5"/>
      <c r="H10" s="5"/>
      <c r="I10" s="5"/>
    </row>
    <row r="11" spans="1:9" ht="5.25" customHeight="1" x14ac:dyDescent="0.25">
      <c r="I11"/>
    </row>
    <row r="12" spans="1:9" ht="15.75" customHeight="1" x14ac:dyDescent="0.25">
      <c r="B12" s="6" t="s">
        <v>43</v>
      </c>
      <c r="I12"/>
    </row>
    <row r="13" spans="1:9" ht="15.75" customHeight="1" x14ac:dyDescent="0.25">
      <c r="I13"/>
    </row>
    <row r="14" spans="1:9" x14ac:dyDescent="0.25">
      <c r="A14" s="1">
        <v>1</v>
      </c>
      <c r="B14" t="s">
        <v>13</v>
      </c>
      <c r="C14" t="str">
        <f>"Ln. "&amp;A144</f>
        <v>Ln. 87</v>
      </c>
      <c r="D14" s="10">
        <f>D144</f>
        <v>496667141.18004739</v>
      </c>
      <c r="I14" s="10">
        <f>I144</f>
        <v>86228148.694473073</v>
      </c>
    </row>
    <row r="15" spans="1:9" x14ac:dyDescent="0.25">
      <c r="A15" s="1"/>
      <c r="D15" s="10"/>
    </row>
    <row r="16" spans="1:9" x14ac:dyDescent="0.25">
      <c r="A16" s="1"/>
      <c r="B16" s="12" t="s">
        <v>14</v>
      </c>
      <c r="D16" s="10"/>
    </row>
    <row r="17" spans="1:14" x14ac:dyDescent="0.25">
      <c r="A17" s="1">
        <f>A14+1</f>
        <v>2</v>
      </c>
      <c r="B17" s="7" t="s">
        <v>381</v>
      </c>
      <c r="C17" t="str">
        <f>'Actual Attachment H'!$I$1&amp;", Ln. "&amp;'Actual Attachment H'!A17</f>
        <v>Attachment H (Actuals), Ln. 2</v>
      </c>
      <c r="D17" s="10">
        <f>'Actual Attachment H'!D17</f>
        <v>3106011.8</v>
      </c>
      <c r="F17" s="1"/>
      <c r="I17" s="10">
        <f>'Actual Attachment H'!I17</f>
        <v>325268.83641476877</v>
      </c>
    </row>
    <row r="18" spans="1:14" x14ac:dyDescent="0.25">
      <c r="A18" s="1">
        <f>A17+1</f>
        <v>3</v>
      </c>
      <c r="B18" s="7" t="s">
        <v>382</v>
      </c>
      <c r="C18" t="str">
        <f>'Actual Attachment H'!$I$1&amp;", Ln. "&amp;'Actual Attachment H'!A18</f>
        <v>Attachment H (Actuals), Ln. 3</v>
      </c>
      <c r="D18" s="10">
        <f>'Actual Attachment H'!D18</f>
        <v>24579633.180000003</v>
      </c>
      <c r="F18" s="1"/>
      <c r="I18" s="10">
        <f>'Actual Attachment H'!I18</f>
        <v>10585007.753826173</v>
      </c>
    </row>
    <row r="19" spans="1:14" x14ac:dyDescent="0.25">
      <c r="A19" s="209">
        <v>4</v>
      </c>
      <c r="B19" s="230" t="s">
        <v>1114</v>
      </c>
      <c r="C19" s="210" t="s">
        <v>1148</v>
      </c>
      <c r="D19" s="231">
        <f>'Actual Attachment H'!D19</f>
        <v>0</v>
      </c>
      <c r="E19" s="210"/>
      <c r="F19" s="209"/>
      <c r="G19" s="210"/>
      <c r="H19" s="210"/>
      <c r="I19" s="231">
        <f>'Actual Attachment H'!I19</f>
        <v>0</v>
      </c>
    </row>
    <row r="20" spans="1:14" x14ac:dyDescent="0.25">
      <c r="A20" s="209">
        <f>+A19+1</f>
        <v>5</v>
      </c>
      <c r="B20" s="210" t="str">
        <f>"Total "&amp;B16</f>
        <v>Total Revenue Credits</v>
      </c>
      <c r="C20" s="210" t="s">
        <v>1149</v>
      </c>
      <c r="D20" s="211">
        <f>SUM(D17:D19)</f>
        <v>27685644.980000004</v>
      </c>
      <c r="E20" s="210"/>
      <c r="F20" s="210"/>
      <c r="G20" s="210"/>
      <c r="H20" s="210"/>
      <c r="I20" s="211">
        <f>SUM(I17:I19)</f>
        <v>10910276.590240942</v>
      </c>
    </row>
    <row r="21" spans="1:14" x14ac:dyDescent="0.25">
      <c r="A21" s="1"/>
      <c r="D21" s="10"/>
    </row>
    <row r="22" spans="1:14" x14ac:dyDescent="0.25">
      <c r="A22" s="1">
        <f>A20+1</f>
        <v>6</v>
      </c>
      <c r="B22" t="s">
        <v>825</v>
      </c>
      <c r="C22" t="str">
        <f>'P15 (True-Up Adjustment)'!K1&amp;", Ln. "&amp;'P15 (True-Up Adjustment)'!A54</f>
        <v>Worksheet P15, Ln. 37</v>
      </c>
      <c r="D22" s="10"/>
      <c r="I22" s="10">
        <f>'P15 (True-Up Adjustment)'!J54</f>
        <v>0</v>
      </c>
      <c r="M22" s="40"/>
    </row>
    <row r="23" spans="1:14" x14ac:dyDescent="0.25">
      <c r="A23" s="1"/>
      <c r="D23" s="10"/>
      <c r="L23" s="10"/>
    </row>
    <row r="24" spans="1:14" ht="16.5" thickBot="1" x14ac:dyDescent="0.3">
      <c r="A24" s="1">
        <f>A22+1</f>
        <v>7</v>
      </c>
      <c r="B24" t="s">
        <v>17</v>
      </c>
      <c r="C24" t="str">
        <f>"Lns. ("&amp;A14&amp;" - "&amp;A20&amp;" - "&amp;A22&amp;")"</f>
        <v>Lns. (1 - 5 - 6)</v>
      </c>
      <c r="D24" s="13">
        <f>D14-D20-D22</f>
        <v>468981496.20004737</v>
      </c>
      <c r="I24" s="13">
        <f>I14-I20-I22</f>
        <v>75317872.104232132</v>
      </c>
      <c r="M24" s="201"/>
      <c r="N24" s="127"/>
    </row>
    <row r="25" spans="1:14" ht="16.5" thickTop="1" x14ac:dyDescent="0.25">
      <c r="A25" s="1"/>
      <c r="D25" s="10"/>
      <c r="M25" s="201"/>
      <c r="N25" s="127"/>
    </row>
    <row r="26" spans="1:14" x14ac:dyDescent="0.25">
      <c r="A26" s="1">
        <f>A24+1</f>
        <v>8</v>
      </c>
      <c r="B26" t="s">
        <v>852</v>
      </c>
      <c r="C26" t="str">
        <f>'P1 (Divisor)'!E1&amp;", Ln. "&amp;'P1 (Divisor)'!A27</f>
        <v>Worksheet P1, Ln. 16</v>
      </c>
      <c r="D26" s="10"/>
      <c r="I26" s="71">
        <f>'P1 (Divisor)'!E27</f>
        <v>2669790.7600812302</v>
      </c>
      <c r="M26" s="201"/>
      <c r="N26" s="127"/>
    </row>
    <row r="27" spans="1:14" x14ac:dyDescent="0.25">
      <c r="A27" s="1"/>
      <c r="D27" s="10"/>
      <c r="M27" s="201"/>
      <c r="N27" s="205"/>
    </row>
    <row r="28" spans="1:14" x14ac:dyDescent="0.25">
      <c r="A28" s="1"/>
      <c r="B28" s="12" t="s">
        <v>19</v>
      </c>
      <c r="D28" s="10"/>
      <c r="M28" s="201"/>
    </row>
    <row r="29" spans="1:14" x14ac:dyDescent="0.25">
      <c r="A29" s="1">
        <f>A26+1</f>
        <v>9</v>
      </c>
      <c r="B29" s="210" t="s">
        <v>1123</v>
      </c>
      <c r="C29" s="210" t="str">
        <f>"Lns. ("&amp;A24&amp;" / "&amp;A26&amp;")*1,000"</f>
        <v>Lns. (7 / 8)*1,000</v>
      </c>
      <c r="D29" s="231"/>
      <c r="E29" s="210"/>
      <c r="F29" s="210"/>
      <c r="G29" s="210"/>
      <c r="H29" s="210"/>
      <c r="I29" s="233">
        <f>IFERROR(ROUND(I24/I26*1000,2),0)</f>
        <v>28211.15</v>
      </c>
      <c r="M29" s="212"/>
    </row>
    <row r="30" spans="1:14" x14ac:dyDescent="0.25">
      <c r="A30" s="1">
        <f>A29+1</f>
        <v>10</v>
      </c>
      <c r="B30" s="210" t="s">
        <v>1126</v>
      </c>
      <c r="C30" s="210" t="str">
        <f>"Ln. "&amp;$A$29&amp;" / 12.0 Months"</f>
        <v>Ln. 9 / 12.0 Months</v>
      </c>
      <c r="D30" s="231"/>
      <c r="E30" s="210"/>
      <c r="F30" s="210"/>
      <c r="G30" s="210"/>
      <c r="H30" s="210"/>
      <c r="I30" s="233">
        <f>IFERROR(ROUND($I$29/12,2),0)</f>
        <v>2350.9299999999998</v>
      </c>
      <c r="M30" s="212"/>
    </row>
    <row r="31" spans="1:14" x14ac:dyDescent="0.25">
      <c r="A31" s="1">
        <f t="shared" ref="A31:A35" si="0">A30+1</f>
        <v>11</v>
      </c>
      <c r="B31" s="210" t="s">
        <v>1127</v>
      </c>
      <c r="C31" s="210" t="str">
        <f>"Ln. "&amp;$A$29&amp;" / 52.0 Weeks"</f>
        <v>Ln. 9 / 52.0 Weeks</v>
      </c>
      <c r="D31" s="231"/>
      <c r="E31" s="210"/>
      <c r="F31" s="210"/>
      <c r="G31" s="210"/>
      <c r="H31" s="210"/>
      <c r="I31" s="233">
        <f>IFERROR(ROUND($I$29/52,2),0)</f>
        <v>542.52</v>
      </c>
      <c r="M31" s="212"/>
    </row>
    <row r="32" spans="1:14" x14ac:dyDescent="0.25">
      <c r="A32" s="1">
        <f t="shared" si="0"/>
        <v>12</v>
      </c>
      <c r="B32" s="210" t="s">
        <v>1128</v>
      </c>
      <c r="C32" s="210" t="str">
        <f>"Ln. "&amp;$A$31&amp;" / 6.0 Days"</f>
        <v>Ln. 11 / 6.0 Days</v>
      </c>
      <c r="D32" s="231"/>
      <c r="E32" s="210"/>
      <c r="F32" s="210"/>
      <c r="G32" s="210"/>
      <c r="H32" s="210"/>
      <c r="I32" s="233">
        <f>IFERROR(ROUND($I$31/6,2),0)</f>
        <v>90.42</v>
      </c>
      <c r="M32" s="212"/>
    </row>
    <row r="33" spans="1:14" x14ac:dyDescent="0.25">
      <c r="A33" s="1">
        <f t="shared" si="0"/>
        <v>13</v>
      </c>
      <c r="B33" s="210" t="s">
        <v>1129</v>
      </c>
      <c r="C33" s="210" t="str">
        <f>"Ln. "&amp;$A$31&amp;" / 7.0 Days"</f>
        <v>Ln. 11 / 7.0 Days</v>
      </c>
      <c r="D33" s="231"/>
      <c r="E33" s="210"/>
      <c r="F33" s="210"/>
      <c r="G33" s="210"/>
      <c r="H33" s="210"/>
      <c r="I33" s="233">
        <f>IFERROR(ROUND($I$31/7,2),0)</f>
        <v>77.5</v>
      </c>
      <c r="M33" s="212"/>
    </row>
    <row r="34" spans="1:14" x14ac:dyDescent="0.25">
      <c r="A34" s="1">
        <f t="shared" si="0"/>
        <v>14</v>
      </c>
      <c r="B34" s="210" t="s">
        <v>20</v>
      </c>
      <c r="C34" s="210" t="str">
        <f>"Ln. "&amp;$A$32&amp;" / 16.0 Hours"</f>
        <v>Ln. 12 / 16.0 Hours</v>
      </c>
      <c r="D34" s="231"/>
      <c r="E34" s="210"/>
      <c r="F34" s="210"/>
      <c r="G34" s="210"/>
      <c r="H34" s="210"/>
      <c r="I34" s="234">
        <f>ROUND(IFERROR(I32/16,0),4)</f>
        <v>5.6513</v>
      </c>
      <c r="M34" s="212"/>
    </row>
    <row r="35" spans="1:14" x14ac:dyDescent="0.25">
      <c r="A35" s="1">
        <f t="shared" si="0"/>
        <v>15</v>
      </c>
      <c r="B35" s="210" t="s">
        <v>21</v>
      </c>
      <c r="C35" s="210" t="str">
        <f>"Ln. "&amp;$A$33&amp;" / 24.0 Hours"</f>
        <v>Ln. 13 / 24.0 Hours</v>
      </c>
      <c r="D35" s="231"/>
      <c r="E35" s="210"/>
      <c r="F35" s="210"/>
      <c r="G35" s="210"/>
      <c r="H35" s="210"/>
      <c r="I35" s="234">
        <f>ROUND(IFERROR(I33/24,0),4)</f>
        <v>3.2292000000000001</v>
      </c>
      <c r="M35" s="212"/>
    </row>
    <row r="36" spans="1:14" x14ac:dyDescent="0.25">
      <c r="A36" s="1"/>
      <c r="D36" s="10"/>
    </row>
    <row r="37" spans="1:14" x14ac:dyDescent="0.25">
      <c r="A37" s="1"/>
      <c r="B37" s="6" t="s">
        <v>23</v>
      </c>
      <c r="D37" s="10"/>
      <c r="M37" s="202"/>
    </row>
    <row r="38" spans="1:14" x14ac:dyDescent="0.25">
      <c r="A38" s="1"/>
      <c r="D38" s="10"/>
    </row>
    <row r="39" spans="1:14" ht="18.75" x14ac:dyDescent="0.25">
      <c r="A39" s="1"/>
      <c r="B39" s="12" t="s">
        <v>857</v>
      </c>
      <c r="D39" s="10"/>
    </row>
    <row r="40" spans="1:14" x14ac:dyDescent="0.25">
      <c r="A40" s="1">
        <f>A35+1</f>
        <v>16</v>
      </c>
      <c r="B40" t="s">
        <v>24</v>
      </c>
      <c r="C40" t="str">
        <f>'Actual Attachment H'!$I$1&amp;", Ln. "&amp;'Actual Attachment H'!A38</f>
        <v>Attachment H (Actuals), Ln. 15</v>
      </c>
      <c r="D40" s="10">
        <f>'Actual Attachment H'!D38</f>
        <v>3099086313.2307692</v>
      </c>
      <c r="F40" s="1" t="s">
        <v>29</v>
      </c>
      <c r="G40" s="27">
        <f>VLOOKUP(F40,'P12 (Allocation Factors)'!$D:$F,3,0)</f>
        <v>0</v>
      </c>
      <c r="I40" s="10">
        <f>D40*G40</f>
        <v>0</v>
      </c>
    </row>
    <row r="41" spans="1:14" x14ac:dyDescent="0.25">
      <c r="A41" s="1">
        <f>A40+1</f>
        <v>17</v>
      </c>
      <c r="B41" t="s">
        <v>25</v>
      </c>
      <c r="C41" t="str">
        <f>'P2 (Trans Plant)'!$L$1&amp;", Ln. "&amp;'P2 (Trans Plant)'!$A$39&amp;", Col. "&amp;'P2 (Trans Plant)'!F8</f>
        <v>Worksheet P2, Ln. 27, Col. [e]</v>
      </c>
      <c r="D41" s="10">
        <f>'P2 (Trans Plant)'!F39</f>
        <v>619861339.92307687</v>
      </c>
      <c r="F41" s="1" t="s">
        <v>16</v>
      </c>
      <c r="G41" s="27">
        <f>VLOOKUP(F41,'P12 (Allocation Factors)'!$D:$F,3,0)</f>
        <v>0.99243763447066813</v>
      </c>
      <c r="I41" s="10">
        <f>D41*G41</f>
        <v>615173721.89307714</v>
      </c>
    </row>
    <row r="42" spans="1:14" x14ac:dyDescent="0.25">
      <c r="A42" s="1">
        <f t="shared" ref="A42:A43" si="1">A41+1</f>
        <v>18</v>
      </c>
      <c r="B42" t="s">
        <v>26</v>
      </c>
      <c r="C42" t="str">
        <f>'Actual Attachment H'!$I$1&amp;", Ln. "&amp;'Actual Attachment H'!A40</f>
        <v>Attachment H (Actuals), Ln. 17</v>
      </c>
      <c r="D42" s="10">
        <f>'Actual Attachment H'!D40</f>
        <v>1394522056.7692308</v>
      </c>
      <c r="F42" s="1" t="s">
        <v>29</v>
      </c>
      <c r="G42" s="27">
        <f>VLOOKUP(F42,'P12 (Allocation Factors)'!$D:$F,3,0)</f>
        <v>0</v>
      </c>
      <c r="I42" s="10">
        <f t="shared" ref="I42:I43" si="2">D42*G42</f>
        <v>0</v>
      </c>
    </row>
    <row r="43" spans="1:14" x14ac:dyDescent="0.25">
      <c r="A43" s="1">
        <f t="shared" si="1"/>
        <v>19</v>
      </c>
      <c r="B43" t="s">
        <v>27</v>
      </c>
      <c r="C43" t="str">
        <f>'Actual Attachment H'!$I$1&amp;", Ln. "&amp;'Actual Attachment H'!A41</f>
        <v>Attachment H (Actuals), Ln. 18</v>
      </c>
      <c r="D43" s="10">
        <f>'Actual Attachment H'!D41</f>
        <v>438921789.84615386</v>
      </c>
      <c r="F43" s="1" t="s">
        <v>288</v>
      </c>
      <c r="G43" s="27">
        <f>VLOOKUP(F43,'P12 (Allocation Factors)'!$D:$F,3,0)</f>
        <v>0.20910917396042414</v>
      </c>
      <c r="I43" s="10">
        <f t="shared" si="2"/>
        <v>91782572.907960117</v>
      </c>
    </row>
    <row r="44" spans="1:14" x14ac:dyDescent="0.25">
      <c r="A44" s="1">
        <f>A43+1</f>
        <v>20</v>
      </c>
      <c r="B44" t="s">
        <v>858</v>
      </c>
      <c r="C44" t="str">
        <f>"Sum Lns. ("&amp;A40&amp;" through "&amp;A43&amp;")"</f>
        <v>Sum Lns. (16 through 19)</v>
      </c>
      <c r="D44" s="11">
        <f>SUM(D40:D43)</f>
        <v>5552391499.7692308</v>
      </c>
      <c r="I44" s="11">
        <f>SUM(I40:I43)</f>
        <v>706956294.80103731</v>
      </c>
      <c r="L44" s="203"/>
      <c r="M44" s="204"/>
      <c r="N44" s="205"/>
    </row>
    <row r="45" spans="1:14" x14ac:dyDescent="0.25">
      <c r="A45" s="1"/>
      <c r="D45" s="10"/>
    </row>
    <row r="46" spans="1:14" ht="18.75" x14ac:dyDescent="0.25">
      <c r="A46" s="1"/>
      <c r="B46" s="12" t="s">
        <v>859</v>
      </c>
      <c r="D46" s="10"/>
    </row>
    <row r="47" spans="1:14" x14ac:dyDescent="0.25">
      <c r="A47" s="1">
        <f>A44+1</f>
        <v>21</v>
      </c>
      <c r="B47" t="s">
        <v>24</v>
      </c>
      <c r="C47" t="str">
        <f>'Actual Attachment H'!$I$1&amp;", Ln. "&amp;'Actual Attachment H'!A45</f>
        <v>Attachment H (Actuals), Ln. 20</v>
      </c>
      <c r="D47" s="10">
        <f>'Actual Attachment H'!D45</f>
        <v>1621178138.3076923</v>
      </c>
      <c r="F47" s="1" t="s">
        <v>29</v>
      </c>
      <c r="G47" s="27">
        <f>VLOOKUP(F47,'P12 (Allocation Factors)'!$D:$F,3,0)</f>
        <v>0</v>
      </c>
      <c r="I47" s="10">
        <f t="shared" ref="I47:I50" si="3">D47*G47</f>
        <v>0</v>
      </c>
    </row>
    <row r="48" spans="1:14" x14ac:dyDescent="0.25">
      <c r="A48" s="1">
        <f>A47+1</f>
        <v>22</v>
      </c>
      <c r="B48" t="s">
        <v>25</v>
      </c>
      <c r="C48" t="str">
        <f>'P2 (Trans Plant)'!$L$1&amp;", Ln. "&amp;'P2 (Trans Plant)'!$A$39&amp;", Col. "&amp;'P2 (Trans Plant)'!K8</f>
        <v>Worksheet P2, Ln. 27, Col. [j]</v>
      </c>
      <c r="D48" s="10">
        <f>'P2 (Trans Plant)'!K39</f>
        <v>258361068.19722736</v>
      </c>
      <c r="F48" s="1" t="s">
        <v>16</v>
      </c>
      <c r="G48" s="27">
        <f>VLOOKUP(F48,'P12 (Allocation Factors)'!$D:$F,3,0)</f>
        <v>0.99243763447066813</v>
      </c>
      <c r="I48" s="10">
        <f t="shared" si="3"/>
        <v>256407247.36097127</v>
      </c>
    </row>
    <row r="49" spans="1:9" x14ac:dyDescent="0.25">
      <c r="A49" s="1">
        <f>A48+1</f>
        <v>23</v>
      </c>
      <c r="B49" t="s">
        <v>26</v>
      </c>
      <c r="C49" t="str">
        <f>'Actual Attachment H'!$I$1&amp;", Ln. "&amp;'Actual Attachment H'!A47</f>
        <v>Attachment H (Actuals), Ln. 22</v>
      </c>
      <c r="D49" s="10">
        <f>'Actual Attachment H'!D47</f>
        <v>403266984.92307693</v>
      </c>
      <c r="F49" s="1" t="s">
        <v>29</v>
      </c>
      <c r="G49" s="27">
        <f>VLOOKUP(F49,'P12 (Allocation Factors)'!$D:$F,3,0)</f>
        <v>0</v>
      </c>
      <c r="I49" s="10">
        <f t="shared" si="3"/>
        <v>0</v>
      </c>
    </row>
    <row r="50" spans="1:9" x14ac:dyDescent="0.25">
      <c r="A50" s="1">
        <f>A49+1</f>
        <v>24</v>
      </c>
      <c r="B50" t="s">
        <v>27</v>
      </c>
      <c r="C50" t="str">
        <f>'Actual Attachment H'!$I$1&amp;", Ln. "&amp;'Actual Attachment H'!A48</f>
        <v>Attachment H (Actuals), Ln. 23</v>
      </c>
      <c r="D50" s="10">
        <f>'Actual Attachment H'!D48</f>
        <v>168029885.07784617</v>
      </c>
      <c r="F50" s="1" t="s">
        <v>288</v>
      </c>
      <c r="G50" s="27">
        <f>VLOOKUP(F50,'P12 (Allocation Factors)'!$D:$F,3,0)</f>
        <v>0.20910917396042414</v>
      </c>
      <c r="I50" s="10">
        <f t="shared" si="3"/>
        <v>35136590.469293408</v>
      </c>
    </row>
    <row r="51" spans="1:9" x14ac:dyDescent="0.25">
      <c r="A51" s="1">
        <f>A50+1</f>
        <v>25</v>
      </c>
      <c r="B51" t="s">
        <v>862</v>
      </c>
      <c r="C51" t="str">
        <f>"Sum Lns. ("&amp;A47&amp;" through "&amp;A50&amp;")"</f>
        <v>Sum Lns. (21 through 24)</v>
      </c>
      <c r="D51" s="11">
        <f>SUM(D47:D50)</f>
        <v>2450836076.5058427</v>
      </c>
      <c r="I51" s="11">
        <f>SUM(I47:I50)</f>
        <v>291543837.83026469</v>
      </c>
    </row>
    <row r="52" spans="1:9" x14ac:dyDescent="0.25">
      <c r="A52" s="1"/>
      <c r="D52" s="10"/>
    </row>
    <row r="53" spans="1:9" x14ac:dyDescent="0.25">
      <c r="A53" s="1"/>
      <c r="B53" s="12" t="s">
        <v>28</v>
      </c>
      <c r="D53" s="10"/>
    </row>
    <row r="54" spans="1:9" x14ac:dyDescent="0.25">
      <c r="A54" s="1">
        <f>A51+1</f>
        <v>26</v>
      </c>
      <c r="B54" t="s">
        <v>24</v>
      </c>
      <c r="C54" t="str">
        <f>"Lns. ("&amp;A40&amp;" - "&amp;A47&amp;")"</f>
        <v>Lns. (16 - 21)</v>
      </c>
      <c r="D54" s="10">
        <f>D40-D47</f>
        <v>1477908174.9230769</v>
      </c>
      <c r="I54" s="10">
        <f>I40-I47</f>
        <v>0</v>
      </c>
    </row>
    <row r="55" spans="1:9" x14ac:dyDescent="0.25">
      <c r="A55" s="1">
        <f>A54+1</f>
        <v>27</v>
      </c>
      <c r="B55" t="s">
        <v>25</v>
      </c>
      <c r="C55" t="str">
        <f t="shared" ref="C55:C57" si="4">"Lns. ("&amp;A41&amp;" - "&amp;A48&amp;")"</f>
        <v>Lns. (17 - 22)</v>
      </c>
      <c r="D55" s="10">
        <f t="shared" ref="D55:D57" si="5">D41-D48</f>
        <v>361500271.72584951</v>
      </c>
      <c r="I55" s="10">
        <f t="shared" ref="I55:I57" si="6">I41-I48</f>
        <v>358766474.53210586</v>
      </c>
    </row>
    <row r="56" spans="1:9" x14ac:dyDescent="0.25">
      <c r="A56" s="1">
        <f t="shared" ref="A56:A57" si="7">A55+1</f>
        <v>28</v>
      </c>
      <c r="B56" t="s">
        <v>26</v>
      </c>
      <c r="C56" t="str">
        <f t="shared" si="4"/>
        <v>Lns. (18 - 23)</v>
      </c>
      <c r="D56" s="10">
        <f t="shared" si="5"/>
        <v>991255071.84615397</v>
      </c>
      <c r="I56" s="10">
        <f t="shared" si="6"/>
        <v>0</v>
      </c>
    </row>
    <row r="57" spans="1:9" x14ac:dyDescent="0.25">
      <c r="A57" s="1">
        <f t="shared" si="7"/>
        <v>29</v>
      </c>
      <c r="B57" t="s">
        <v>27</v>
      </c>
      <c r="C57" t="str">
        <f t="shared" si="4"/>
        <v>Lns. (19 - 24)</v>
      </c>
      <c r="D57" s="10">
        <f t="shared" si="5"/>
        <v>270891904.76830769</v>
      </c>
      <c r="I57" s="10">
        <f t="shared" si="6"/>
        <v>56645982.438666709</v>
      </c>
    </row>
    <row r="58" spans="1:9" x14ac:dyDescent="0.25">
      <c r="A58" s="1">
        <f>A57+1</f>
        <v>30</v>
      </c>
      <c r="B58" t="str">
        <f>"Total "&amp;B53</f>
        <v>Total Net Plant in Service</v>
      </c>
      <c r="C58" t="str">
        <f>"Sum Lns. ("&amp;A54&amp;" through "&amp;A57&amp;")"</f>
        <v>Sum Lns. (26 through 29)</v>
      </c>
      <c r="D58" s="11">
        <f>SUM(D54:D57)</f>
        <v>3101555423.2633877</v>
      </c>
      <c r="I58" s="11">
        <f>SUM(I54:I57)</f>
        <v>415412456.97077256</v>
      </c>
    </row>
    <row r="59" spans="1:9" x14ac:dyDescent="0.25">
      <c r="A59" s="1"/>
      <c r="D59" s="10"/>
    </row>
    <row r="60" spans="1:9" x14ac:dyDescent="0.25">
      <c r="A60" s="1">
        <f>A58+1</f>
        <v>31</v>
      </c>
      <c r="B60" t="s">
        <v>30</v>
      </c>
      <c r="C60" t="str">
        <f>'P3 (CWIP)'!X1&amp;", Ln. "&amp;'P3 (CWIP)'!A19&amp;", Cols. [s] and [v]"</f>
        <v>Worksheet P3, Ln. 2, Cols. [s] and [v]</v>
      </c>
      <c r="D60" s="10">
        <f>'P3 (CWIP)'!T19</f>
        <v>0</v>
      </c>
      <c r="F60" s="1"/>
      <c r="I60" s="10">
        <f>'P3 (CWIP)'!W19</f>
        <v>0</v>
      </c>
    </row>
    <row r="61" spans="1:9" x14ac:dyDescent="0.25">
      <c r="A61" s="1"/>
      <c r="D61" s="10"/>
    </row>
    <row r="62" spans="1:9" x14ac:dyDescent="0.25">
      <c r="A62" s="1"/>
      <c r="B62" s="12" t="s">
        <v>31</v>
      </c>
      <c r="D62" s="10"/>
    </row>
    <row r="63" spans="1:9" x14ac:dyDescent="0.25">
      <c r="A63" s="1">
        <f>A60+1</f>
        <v>32</v>
      </c>
      <c r="B63" s="7" t="s">
        <v>32</v>
      </c>
      <c r="C63" t="str">
        <f>'P4 (DIT Averages)'!$L$1&amp;", Ln. "&amp;'P4 (DIT Averages)'!A87</f>
        <v>Worksheet P4, Ln. 58</v>
      </c>
      <c r="D63" s="10"/>
      <c r="F63" s="1"/>
      <c r="I63" s="10">
        <f>'P4 (DIT Averages)'!L87</f>
        <v>-54219025.120207004</v>
      </c>
    </row>
    <row r="64" spans="1:9" x14ac:dyDescent="0.25">
      <c r="A64" s="1">
        <f>A63+1</f>
        <v>33</v>
      </c>
      <c r="B64" s="7" t="s">
        <v>33</v>
      </c>
      <c r="C64" t="str">
        <f>'P4 (DIT Averages)'!$L$1&amp;", Ln. "&amp;'P4 (DIT Averages)'!A139</f>
        <v>Worksheet P4, Ln. 97</v>
      </c>
      <c r="D64" s="10"/>
      <c r="F64" s="1"/>
      <c r="I64" s="10">
        <f>'P4 (DIT Averages)'!L139</f>
        <v>-28175919.457702115</v>
      </c>
    </row>
    <row r="65" spans="1:9" x14ac:dyDescent="0.25">
      <c r="A65" s="1">
        <f t="shared" ref="A65:A70" si="8">A64+1</f>
        <v>34</v>
      </c>
      <c r="B65" s="7" t="s">
        <v>34</v>
      </c>
      <c r="C65" t="str">
        <f>'P7 (Reg Assets Liabilities)'!$AE$1&amp;", Ln. "&amp;'P7 (Reg Assets Liabilities)'!A21&amp;", Cols. [aa] and [cc]"</f>
        <v>Worksheet P7, Ln. 3, Cols. [aa] and [cc]</v>
      </c>
      <c r="D65" s="10">
        <f>'P7 (Reg Assets Liabilities)'!AB21</f>
        <v>0</v>
      </c>
      <c r="F65" s="1"/>
      <c r="I65" s="10">
        <f>'P7 (Reg Assets Liabilities)'!AD21</f>
        <v>0</v>
      </c>
    </row>
    <row r="66" spans="1:9" x14ac:dyDescent="0.25">
      <c r="A66" s="1">
        <f t="shared" si="8"/>
        <v>35</v>
      </c>
      <c r="B66" s="7" t="s">
        <v>35</v>
      </c>
      <c r="C66" t="str">
        <f>'P7 (Reg Assets Liabilities)'!$AE$1&amp;", Ln. "&amp;'P7 (Reg Assets Liabilities)'!A23&amp;", Cols. [aa] and [cc]"</f>
        <v>Worksheet P7, Ln. 4, Cols. [aa] and [cc]</v>
      </c>
      <c r="D66" s="10">
        <f>'P7 (Reg Assets Liabilities)'!AB23</f>
        <v>0</v>
      </c>
      <c r="F66" s="1"/>
      <c r="I66" s="10">
        <f>'P7 (Reg Assets Liabilities)'!AD23</f>
        <v>0</v>
      </c>
    </row>
    <row r="67" spans="1:9" x14ac:dyDescent="0.25">
      <c r="A67" s="1">
        <f t="shared" si="8"/>
        <v>36</v>
      </c>
      <c r="B67" s="7" t="s">
        <v>36</v>
      </c>
      <c r="C67" t="str">
        <f>'P8 (Abandoned Plant)'!AD1&amp;", Ln. "&amp;'P8 (Abandoned Plant)'!A19&amp;", Cols. [z] and [bb]"</f>
        <v>Worksheet P8, Ln. 2, Cols. [z] and [bb]</v>
      </c>
      <c r="D67" s="10">
        <f>'P8 (Abandoned Plant)'!AA19</f>
        <v>0</v>
      </c>
      <c r="F67" s="1"/>
      <c r="I67" s="10">
        <f>'P8 (Abandoned Plant)'!AC19</f>
        <v>0</v>
      </c>
    </row>
    <row r="68" spans="1:9" x14ac:dyDescent="0.25">
      <c r="A68" s="1">
        <f t="shared" si="8"/>
        <v>37</v>
      </c>
      <c r="B68" s="7" t="s">
        <v>37</v>
      </c>
      <c r="C68" t="str">
        <f>'Actual Attachment H'!$I$1&amp;", Ln. "&amp;'Actual Attachment H'!A66</f>
        <v>Attachment H (Actuals), Ln. 36</v>
      </c>
      <c r="D68" s="10">
        <f>'Actual Attachment H'!D66</f>
        <v>0</v>
      </c>
      <c r="F68" s="1"/>
      <c r="I68" s="10">
        <f>'Actual Attachment H'!I66</f>
        <v>0</v>
      </c>
    </row>
    <row r="69" spans="1:9" x14ac:dyDescent="0.25">
      <c r="A69" s="1">
        <f t="shared" si="8"/>
        <v>38</v>
      </c>
      <c r="B69" s="7" t="s">
        <v>618</v>
      </c>
      <c r="C69" t="str">
        <f>'Actual Attachment H'!$I$1&amp;", Ln. "&amp;'Actual Attachment H'!A67</f>
        <v>Attachment H (Actuals), Ln. 37</v>
      </c>
      <c r="D69" s="10">
        <f>'Actual Attachment H'!D67</f>
        <v>0</v>
      </c>
      <c r="F69" s="1"/>
      <c r="I69" s="10">
        <f>'Actual Attachment H'!I67</f>
        <v>0</v>
      </c>
    </row>
    <row r="70" spans="1:9" x14ac:dyDescent="0.25">
      <c r="A70" s="1">
        <f t="shared" si="8"/>
        <v>39</v>
      </c>
      <c r="B70" t="str">
        <f>"Total "&amp;B62</f>
        <v>Total Rate Base Adjustments</v>
      </c>
      <c r="C70" t="str">
        <f>"Sum Lns. ("&amp;A63&amp;" through "&amp;A69&amp;")"</f>
        <v>Sum Lns. (32 through 38)</v>
      </c>
      <c r="D70" s="11">
        <f>SUM(D63:D69)</f>
        <v>0</v>
      </c>
      <c r="I70" s="11">
        <f>SUM(I63:I69)</f>
        <v>-82394944.577909112</v>
      </c>
    </row>
    <row r="71" spans="1:9" x14ac:dyDescent="0.25">
      <c r="A71" s="1"/>
      <c r="D71" s="10"/>
    </row>
    <row r="72" spans="1:9" x14ac:dyDescent="0.25">
      <c r="A72" s="1">
        <f>A70+1</f>
        <v>40</v>
      </c>
      <c r="B72" t="s">
        <v>426</v>
      </c>
      <c r="C72" t="str">
        <f>'Actual Attachment H'!$I$1&amp;", Ln. "&amp;'Actual Attachment H'!A70</f>
        <v>Attachment H (Actuals), Ln. 39</v>
      </c>
      <c r="D72" s="10">
        <f>'Actual Attachment H'!D70</f>
        <v>0</v>
      </c>
      <c r="F72" s="1"/>
      <c r="I72" s="10">
        <f>'Actual Attachment H'!I70</f>
        <v>0</v>
      </c>
    </row>
    <row r="73" spans="1:9" x14ac:dyDescent="0.25">
      <c r="A73" s="1"/>
      <c r="D73" s="10"/>
    </row>
    <row r="74" spans="1:9" x14ac:dyDescent="0.25">
      <c r="A74" s="1"/>
      <c r="B74" s="12" t="s">
        <v>38</v>
      </c>
      <c r="D74" s="10"/>
    </row>
    <row r="75" spans="1:9" ht="18.75" x14ac:dyDescent="0.25">
      <c r="A75" s="1">
        <f>A72+1</f>
        <v>41</v>
      </c>
      <c r="B75" s="7" t="s">
        <v>865</v>
      </c>
      <c r="C75" t="str">
        <f>"Ln. "&amp;A102&amp;" x 1/8"</f>
        <v>Ln. 59 x 1/8</v>
      </c>
      <c r="D75" s="10">
        <f>D102/8</f>
        <v>13608663.440690033</v>
      </c>
      <c r="I75" s="10">
        <f>I102/8</f>
        <v>4289767.8132822476</v>
      </c>
    </row>
    <row r="76" spans="1:9" x14ac:dyDescent="0.25">
      <c r="A76" s="1">
        <f>A75+1</f>
        <v>42</v>
      </c>
      <c r="B76" s="7" t="s">
        <v>377</v>
      </c>
      <c r="C76" t="str">
        <f>'Actual Attachment H'!$I$1&amp;", Ln. "&amp;'Actual Attachment H'!A74</f>
        <v>Attachment H (Actuals), Ln. 41</v>
      </c>
      <c r="D76" s="10">
        <f>'Actual Attachment H'!D74</f>
        <v>2954076.1137580369</v>
      </c>
      <c r="F76" s="1" t="s">
        <v>16</v>
      </c>
      <c r="G76" s="27">
        <f>VLOOKUP(F76,'P12 (Allocation Factors)'!$D:$F,3,0)</f>
        <v>0.99243763447066813</v>
      </c>
      <c r="I76" s="10">
        <f t="shared" ref="I76:I78" si="9">D76*G76</f>
        <v>2931736.3103843303</v>
      </c>
    </row>
    <row r="77" spans="1:9" x14ac:dyDescent="0.25">
      <c r="A77" s="1">
        <f t="shared" ref="A77" si="10">A76+1</f>
        <v>43</v>
      </c>
      <c r="B77" s="7" t="s">
        <v>378</v>
      </c>
      <c r="C77" t="str">
        <f>'Actual Attachment H'!$I$1&amp;", Ln. "&amp;'Actual Attachment H'!A75</f>
        <v>Attachment H (Actuals), Ln. 42</v>
      </c>
      <c r="D77" s="10">
        <f>'Actual Attachment H'!D75</f>
        <v>733.9307692307691</v>
      </c>
      <c r="F77" s="1" t="s">
        <v>288</v>
      </c>
      <c r="G77" s="27">
        <f>VLOOKUP(F77,'P12 (Allocation Factors)'!$D:$F,3,0)</f>
        <v>0.20910917396042414</v>
      </c>
      <c r="I77" s="10">
        <f t="shared" si="9"/>
        <v>153.47165689798479</v>
      </c>
    </row>
    <row r="78" spans="1:9" x14ac:dyDescent="0.25">
      <c r="A78" s="1">
        <f>A77+1</f>
        <v>44</v>
      </c>
      <c r="B78" s="7" t="s">
        <v>39</v>
      </c>
      <c r="C78" t="str">
        <f>'Actual Attachment H'!$I$1&amp;", Ln. "&amp;'Actual Attachment H'!A76</f>
        <v>Attachment H (Actuals), Ln. 43</v>
      </c>
      <c r="D78" s="10">
        <f>'Actual Attachment H'!D76</f>
        <v>18668835.59538462</v>
      </c>
      <c r="F78" s="1" t="s">
        <v>42</v>
      </c>
      <c r="G78" s="27">
        <f>VLOOKUP(F78,'P12 (Allocation Factors)'!$D:$F,3,0)</f>
        <v>0.12732464827640844</v>
      </c>
      <c r="I78" s="10">
        <f t="shared" si="9"/>
        <v>2377002.9259124408</v>
      </c>
    </row>
    <row r="79" spans="1:9" x14ac:dyDescent="0.25">
      <c r="A79" s="1">
        <f t="shared" ref="A79" si="11">A78+1</f>
        <v>45</v>
      </c>
      <c r="B79" t="str">
        <f>"Total "&amp;B74</f>
        <v>Total Working Capital</v>
      </c>
      <c r="C79" t="str">
        <f>"Sum Lns. ("&amp;A75&amp;" through "&amp;A78&amp;")"</f>
        <v>Sum Lns. (41 through 44)</v>
      </c>
      <c r="D79" s="11">
        <f>SUM(D75:D78)</f>
        <v>35232309.080601923</v>
      </c>
      <c r="I79" s="11">
        <f>SUM(I75:I78)</f>
        <v>9598660.5212359168</v>
      </c>
    </row>
    <row r="80" spans="1:9" x14ac:dyDescent="0.25">
      <c r="A80" s="1"/>
      <c r="D80" s="10"/>
    </row>
    <row r="81" spans="1:9" ht="16.5" thickBot="1" x14ac:dyDescent="0.3">
      <c r="A81" s="1">
        <f>A79+1</f>
        <v>46</v>
      </c>
      <c r="B81" s="15" t="s">
        <v>40</v>
      </c>
      <c r="C81" t="str">
        <f>"Lns. ("&amp;A58&amp;" + "&amp;A60&amp;" + "&amp;A70&amp;" + "&amp;A72&amp;" + "&amp;A79&amp;")"</f>
        <v>Lns. (30 + 31 + 39 + 40 + 45)</v>
      </c>
      <c r="D81" s="13">
        <f>D58+D60+D70+D72+D79</f>
        <v>3136787732.3439894</v>
      </c>
      <c r="I81" s="13">
        <f>I58+I60+I70+I72+I79</f>
        <v>342616172.9140994</v>
      </c>
    </row>
    <row r="82" spans="1:9" ht="16.5" thickTop="1" x14ac:dyDescent="0.25">
      <c r="A82" s="1"/>
      <c r="D82" s="10"/>
    </row>
    <row r="83" spans="1:9" x14ac:dyDescent="0.25">
      <c r="A83" s="1"/>
      <c r="B83" s="6" t="s">
        <v>44</v>
      </c>
      <c r="D83" s="10"/>
    </row>
    <row r="84" spans="1:9" x14ac:dyDescent="0.25">
      <c r="A84" s="1"/>
      <c r="D84" s="10"/>
    </row>
    <row r="85" spans="1:9" x14ac:dyDescent="0.25">
      <c r="A85" s="1"/>
      <c r="B85" s="12" t="s">
        <v>49</v>
      </c>
      <c r="D85" s="10"/>
    </row>
    <row r="86" spans="1:9" x14ac:dyDescent="0.25">
      <c r="A86" s="1">
        <f>A81+1</f>
        <v>47</v>
      </c>
      <c r="B86" s="7" t="s">
        <v>46</v>
      </c>
      <c r="C86" t="str">
        <f>'P9 (Expenses)'!$F$1&amp;", Ln. "&amp;'P9 (Expenses)'!A14&amp;", Col. "&amp;'P9 (Expenses)'!$F$8</f>
        <v>Worksheet P9, Ln. 2, Col. [e]</v>
      </c>
      <c r="D86" s="10">
        <f>'P9 (Expenses)'!F14</f>
        <v>24060667.077765997</v>
      </c>
      <c r="F86" s="1" t="s">
        <v>16</v>
      </c>
      <c r="G86" s="27">
        <f>VLOOKUP(F86,'P12 (Allocation Factors)'!$D:$F,3,0)</f>
        <v>0.99243763447066813</v>
      </c>
      <c r="I86" s="10">
        <f t="shared" ref="I86:I88" si="12">D86*G86</f>
        <v>23878711.51844437</v>
      </c>
    </row>
    <row r="87" spans="1:9" x14ac:dyDescent="0.25">
      <c r="A87" s="1">
        <f>A86+1</f>
        <v>48</v>
      </c>
      <c r="B87" s="18" t="s">
        <v>47</v>
      </c>
      <c r="C87" t="str">
        <f>'P9 (Expenses)'!$F$1&amp;", Ln. "&amp;'P9 (Expenses)'!A15&amp;", Col. "&amp;'P9 (Expenses)'!$F$8</f>
        <v>Worksheet P9, Ln. 3, Col. [e]</v>
      </c>
      <c r="D87" s="10">
        <f>'P9 (Expenses)'!F15</f>
        <v>3534470.1879115654</v>
      </c>
      <c r="F87" s="1" t="s">
        <v>16</v>
      </c>
      <c r="G87" s="27">
        <f>VLOOKUP(F87,'P12 (Allocation Factors)'!$D:$F,3,0)</f>
        <v>0.99243763447066813</v>
      </c>
      <c r="I87" s="10">
        <f t="shared" si="12"/>
        <v>3507741.2323980518</v>
      </c>
    </row>
    <row r="88" spans="1:9" x14ac:dyDescent="0.25">
      <c r="A88" s="1">
        <f t="shared" ref="A88:A89" si="13">A87+1</f>
        <v>49</v>
      </c>
      <c r="B88" s="18" t="s">
        <v>48</v>
      </c>
      <c r="C88" t="str">
        <f>'P9 (Expenses)'!$F$1&amp;", Ln. "&amp;'P9 (Expenses)'!A16&amp;", Col. "&amp;'P9 (Expenses)'!$F$8</f>
        <v>Worksheet P9, Ln. 4, Col. [e]</v>
      </c>
      <c r="D88" s="10">
        <f>'P9 (Expenses)'!F16</f>
        <v>6826213.7708201641</v>
      </c>
      <c r="F88" s="1" t="s">
        <v>16</v>
      </c>
      <c r="G88" s="27">
        <f>VLOOKUP(F88,'P12 (Allocation Factors)'!$D:$F,3,0)</f>
        <v>0.99243763447066813</v>
      </c>
      <c r="I88" s="10">
        <f t="shared" si="12"/>
        <v>6774591.4471038636</v>
      </c>
    </row>
    <row r="89" spans="1:9" x14ac:dyDescent="0.25">
      <c r="A89" s="1">
        <f t="shared" si="13"/>
        <v>50</v>
      </c>
      <c r="B89" t="str">
        <f>"Total "&amp;B85</f>
        <v>Total Adjusted Transmission O&amp;M</v>
      </c>
      <c r="C89" t="str">
        <f>"Lns. ("&amp;A86&amp;" - "&amp;A87&amp;" - "&amp;A88&amp;")"</f>
        <v>Lns. (47 - 48 - 49)</v>
      </c>
      <c r="D89" s="11">
        <f>D86-D87-D88</f>
        <v>13699983.119034268</v>
      </c>
      <c r="I89" s="11">
        <f>I86-I87-I88</f>
        <v>13596378.838942455</v>
      </c>
    </row>
    <row r="90" spans="1:9" x14ac:dyDescent="0.25">
      <c r="A90" s="1"/>
      <c r="D90" s="10"/>
    </row>
    <row r="91" spans="1:9" x14ac:dyDescent="0.25">
      <c r="A91" s="1"/>
      <c r="B91" s="17" t="s">
        <v>50</v>
      </c>
      <c r="D91" s="10"/>
    </row>
    <row r="92" spans="1:9" x14ac:dyDescent="0.25">
      <c r="A92" s="1">
        <f>A89+1</f>
        <v>51</v>
      </c>
      <c r="B92" s="7" t="s">
        <v>655</v>
      </c>
      <c r="C92" t="str">
        <f>'P9 (Expenses)'!$F$1&amp;", Ln. "&amp;'P9 (Expenses)'!A19&amp;", Col. "&amp;'P9 (Expenses)'!$F$8</f>
        <v>Worksheet P9, Ln. 5, Col. [e]</v>
      </c>
      <c r="D92" s="10">
        <f>'P9 (Expenses)'!F19</f>
        <v>91679701.732538939</v>
      </c>
      <c r="F92" s="1" t="s">
        <v>288</v>
      </c>
      <c r="G92" s="27">
        <f>VLOOKUP(F92,'P12 (Allocation Factors)'!$D:$F,3,0)</f>
        <v>0.20910917396042414</v>
      </c>
      <c r="I92" s="10">
        <f>D92*G92</f>
        <v>19171066.698229283</v>
      </c>
    </row>
    <row r="93" spans="1:9" x14ac:dyDescent="0.25">
      <c r="A93" s="1">
        <f>A92+1</f>
        <v>52</v>
      </c>
      <c r="B93" s="7" t="s">
        <v>51</v>
      </c>
      <c r="C93" t="str">
        <f>'P9 (Expenses)'!$F$1&amp;", Ln. "&amp;'P9 (Expenses)'!A20&amp;", Col. "&amp;'P9 (Expenses)'!$F$8</f>
        <v>Worksheet P9, Ln. 6, Col. [e]</v>
      </c>
      <c r="D93" s="10">
        <f>'P9 (Expenses)'!F20</f>
        <v>1488794.6825058355</v>
      </c>
      <c r="F93" s="1" t="s">
        <v>288</v>
      </c>
      <c r="G93" s="27">
        <f>VLOOKUP(F93,'P12 (Allocation Factors)'!$D:$F,3,0)</f>
        <v>0.20910917396042414</v>
      </c>
      <c r="I93" s="10">
        <f t="shared" ref="I93:I97" si="14">D93*G93</f>
        <v>311320.62625546718</v>
      </c>
    </row>
    <row r="94" spans="1:9" x14ac:dyDescent="0.25">
      <c r="A94" s="1">
        <f t="shared" ref="A94:A98" si="15">A93+1</f>
        <v>53</v>
      </c>
      <c r="B94" s="7" t="s">
        <v>52</v>
      </c>
      <c r="C94" t="str">
        <f>'P9 (Expenses)'!$F$1&amp;", Ln. "&amp;'P9 (Expenses)'!A21&amp;", Col. "&amp;'P9 (Expenses)'!$F$8</f>
        <v>Worksheet P9, Ln. 7, Col. [e]</v>
      </c>
      <c r="D94" s="10">
        <f>'P9 (Expenses)'!F21</f>
        <v>4922621.1036511818</v>
      </c>
      <c r="F94" s="1" t="s">
        <v>42</v>
      </c>
      <c r="G94" s="27">
        <f>VLOOKUP(F94,'P12 (Allocation Factors)'!$D:$F,3,0)</f>
        <v>0.12732464827640844</v>
      </c>
      <c r="I94" s="10">
        <f t="shared" si="14"/>
        <v>626771.00062041229</v>
      </c>
    </row>
    <row r="95" spans="1:9" x14ac:dyDescent="0.25">
      <c r="A95" s="1">
        <f t="shared" si="15"/>
        <v>54</v>
      </c>
      <c r="B95" s="7" t="s">
        <v>349</v>
      </c>
      <c r="C95" t="str">
        <f>'P9 (Expenses)'!$F$1&amp;", Lns. ("&amp;'P9 (Expenses)'!A22&amp;" + "&amp;'P9 (Expenses)'!A23&amp;"), Col. "&amp;'P9 (Expenses)'!$F$8</f>
        <v>Worksheet P9, Lns. (8 + 9), Col. [e]</v>
      </c>
      <c r="D95" s="10"/>
      <c r="F95" s="1"/>
      <c r="G95" s="27"/>
      <c r="I95" s="10">
        <f>'P9 (Expenses)'!F22+'P9 (Expenses)'!F23</f>
        <v>1223579.0863878448</v>
      </c>
    </row>
    <row r="96" spans="1:9" x14ac:dyDescent="0.25">
      <c r="A96" s="1">
        <f t="shared" si="15"/>
        <v>55</v>
      </c>
      <c r="B96" s="7" t="s">
        <v>651</v>
      </c>
      <c r="C96" t="str">
        <f>'P9 (Expenses)'!$F$1&amp;", Ln. "&amp;'P9 (Expenses)'!A24&amp;", Col. "&amp;'P9 (Expenses)'!$F$8</f>
        <v>Worksheet P9, Ln. 10, Col. [e]</v>
      </c>
      <c r="D96" s="10">
        <f>'P9 (Expenses)'!F24</f>
        <v>-3904519.2528017135</v>
      </c>
      <c r="F96" s="1" t="s">
        <v>288</v>
      </c>
      <c r="G96" s="27">
        <f>VLOOKUP(F96,'P12 (Allocation Factors)'!$D:$F,3,0)</f>
        <v>0.20910917396042414</v>
      </c>
      <c r="I96" s="10">
        <f t="shared" si="14"/>
        <v>-816470.79566593876</v>
      </c>
    </row>
    <row r="97" spans="1:9" ht="18.75" x14ac:dyDescent="0.25">
      <c r="A97" s="1">
        <f t="shared" si="15"/>
        <v>56</v>
      </c>
      <c r="B97" s="7" t="s">
        <v>652</v>
      </c>
      <c r="C97" t="s">
        <v>866</v>
      </c>
      <c r="D97" s="10">
        <v>-3848723</v>
      </c>
      <c r="F97" s="1" t="s">
        <v>288</v>
      </c>
      <c r="G97" s="27">
        <f>VLOOKUP(F97,'P12 (Allocation Factors)'!$D:$F,3,0)</f>
        <v>0.20910917396042414</v>
      </c>
      <c r="I97" s="10">
        <f t="shared" si="14"/>
        <v>-804803.28733248543</v>
      </c>
    </row>
    <row r="98" spans="1:9" x14ac:dyDescent="0.25">
      <c r="A98" s="1">
        <f t="shared" si="15"/>
        <v>57</v>
      </c>
      <c r="B98" t="str">
        <f>"Total "&amp;B91</f>
        <v>Total Adjusted A&amp;G</v>
      </c>
      <c r="C98" t="str">
        <f>"Lns. ("&amp;A92&amp;" - "&amp;A93&amp;" + "&amp;A94&amp;" + "&amp;A95&amp;" - "&amp;A96&amp;" + "&amp;A97&amp;")"</f>
        <v>Lns. (51 - 52 + 53 + 54 - 55 + 56)</v>
      </c>
      <c r="D98" s="11">
        <f>D92-D93+D94+D95-D96+D97</f>
        <v>95169324.406486005</v>
      </c>
      <c r="I98" s="11">
        <f>I92-I93+I94+I95-I96+I97</f>
        <v>20721763.667315528</v>
      </c>
    </row>
    <row r="99" spans="1:9" x14ac:dyDescent="0.25">
      <c r="A99" s="1"/>
      <c r="D99" s="10"/>
    </row>
    <row r="100" spans="1:9" x14ac:dyDescent="0.25">
      <c r="A100" s="1">
        <f>A98+1</f>
        <v>58</v>
      </c>
      <c r="B100" t="s">
        <v>765</v>
      </c>
      <c r="C100" t="str">
        <f>'Actual Attachment H'!$I$1&amp;", Ln. "&amp;'Actual Attachment H'!A98</f>
        <v>Attachment H (Actuals), Ln. 57</v>
      </c>
      <c r="D100" s="10">
        <f>'Actual Attachment H'!D98</f>
        <v>0</v>
      </c>
      <c r="F100" s="1"/>
      <c r="I100" s="10">
        <f>'Actual Attachment H'!I98</f>
        <v>0</v>
      </c>
    </row>
    <row r="101" spans="1:9" x14ac:dyDescent="0.25">
      <c r="A101" s="1"/>
      <c r="D101" s="10"/>
    </row>
    <row r="102" spans="1:9" x14ac:dyDescent="0.25">
      <c r="A102" s="1">
        <f>A100+1</f>
        <v>59</v>
      </c>
      <c r="B102" t="s">
        <v>53</v>
      </c>
      <c r="C102" t="str">
        <f>"Lns. ("&amp;A89&amp;" + "&amp;A98&amp;" + "&amp;A100&amp;")"</f>
        <v>Lns. (50 + 57 + 58)</v>
      </c>
      <c r="D102" s="19">
        <f>D89+D98+D100</f>
        <v>108869307.52552027</v>
      </c>
      <c r="I102" s="19">
        <f>I89+I98+I100</f>
        <v>34318142.506257981</v>
      </c>
    </row>
    <row r="103" spans="1:9" x14ac:dyDescent="0.25">
      <c r="A103" s="1"/>
      <c r="D103" s="10"/>
    </row>
    <row r="104" spans="1:9" ht="18.75" x14ac:dyDescent="0.25">
      <c r="A104" s="1"/>
      <c r="B104" s="17" t="s">
        <v>860</v>
      </c>
      <c r="D104" s="10"/>
    </row>
    <row r="105" spans="1:9" x14ac:dyDescent="0.25">
      <c r="A105" s="1">
        <f>A102+1</f>
        <v>60</v>
      </c>
      <c r="B105" s="7" t="s">
        <v>54</v>
      </c>
      <c r="C105" t="str">
        <f>'P2 (Trans Plant)'!L1&amp;", Ln. "&amp;'P2 (Trans Plant)'!A37</f>
        <v>Worksheet P2, Ln. 26</v>
      </c>
      <c r="D105" s="10">
        <f>'P2 (Trans Plant)'!J37</f>
        <v>9048004.6052738819</v>
      </c>
      <c r="F105" s="1" t="s">
        <v>16</v>
      </c>
      <c r="G105" s="27">
        <f>VLOOKUP(F105,'P12 (Allocation Factors)'!$D:$F,3,0)</f>
        <v>0.99243763447066813</v>
      </c>
      <c r="I105" s="10">
        <f t="shared" ref="I105:I106" si="16">D105*G105</f>
        <v>8979580.2871377226</v>
      </c>
    </row>
    <row r="106" spans="1:9" x14ac:dyDescent="0.25">
      <c r="A106" s="1">
        <f>A105+1</f>
        <v>61</v>
      </c>
      <c r="B106" s="7" t="s">
        <v>55</v>
      </c>
      <c r="C106" t="str">
        <f>'Actual Attachment H'!$I$1&amp;", Ln. "&amp;'Actual Attachment H'!A104</f>
        <v>Attachment H (Actuals), Ln. 60</v>
      </c>
      <c r="D106" s="10">
        <f>'Actual Attachment H'!D104</f>
        <v>21126541</v>
      </c>
      <c r="F106" s="1" t="s">
        <v>288</v>
      </c>
      <c r="G106" s="27">
        <f>VLOOKUP(F106,'P12 (Allocation Factors)'!$D:$F,3,0)</f>
        <v>0.20910917396042414</v>
      </c>
      <c r="I106" s="10">
        <f t="shared" si="16"/>
        <v>4417753.5371510331</v>
      </c>
    </row>
    <row r="107" spans="1:9" x14ac:dyDescent="0.25">
      <c r="A107" s="1">
        <f t="shared" ref="A107:A110" si="17">A106+1</f>
        <v>62</v>
      </c>
      <c r="B107" s="7" t="s">
        <v>56</v>
      </c>
      <c r="C107" t="str">
        <f>'P8 (Abandoned Plant)'!AD1&amp;", Ln. "&amp;'P8 (Abandoned Plant)'!A19&amp;", Cols. [h] and [l]"</f>
        <v>Worksheet P8, Ln. 2, Cols. [h] and [l]</v>
      </c>
      <c r="D107" s="10">
        <f>'P8 (Abandoned Plant)'!I19</f>
        <v>0</v>
      </c>
      <c r="F107" s="1"/>
      <c r="I107" s="10">
        <f>'P8 (Abandoned Plant)'!M19</f>
        <v>0</v>
      </c>
    </row>
    <row r="108" spans="1:9" x14ac:dyDescent="0.25">
      <c r="A108" s="1">
        <f t="shared" si="17"/>
        <v>63</v>
      </c>
      <c r="B108" s="7" t="s">
        <v>425</v>
      </c>
      <c r="C108" t="str">
        <f>'P7 (Reg Assets Liabilities)'!$AE$1&amp;", Ln. "&amp;'P7 (Reg Assets Liabilities)'!A21&amp;", Cols. [i] and [m]"</f>
        <v>Worksheet P7, Ln. 3, Cols. [i] and [m]</v>
      </c>
      <c r="D108" s="10">
        <f>'P7 (Reg Assets Liabilities)'!J21</f>
        <v>0</v>
      </c>
      <c r="F108" s="1"/>
      <c r="I108" s="10">
        <f>'P7 (Reg Assets Liabilities)'!N21</f>
        <v>0</v>
      </c>
    </row>
    <row r="109" spans="1:9" x14ac:dyDescent="0.25">
      <c r="A109" s="1">
        <f t="shared" si="17"/>
        <v>64</v>
      </c>
      <c r="B109" s="7" t="s">
        <v>424</v>
      </c>
      <c r="C109" t="str">
        <f>'P7 (Reg Assets Liabilities)'!$AE$1&amp;", Ln. "&amp;'P7 (Reg Assets Liabilities)'!A23&amp;", Cols. [i] and [m]"</f>
        <v>Worksheet P7, Ln. 4, Cols. [i] and [m]</v>
      </c>
      <c r="D109" s="10">
        <f>'P7 (Reg Assets Liabilities)'!J23</f>
        <v>0</v>
      </c>
      <c r="F109" s="1"/>
      <c r="I109" s="10">
        <f>'P7 (Reg Assets Liabilities)'!N23</f>
        <v>0</v>
      </c>
    </row>
    <row r="110" spans="1:9" x14ac:dyDescent="0.25">
      <c r="A110" s="1">
        <f t="shared" si="17"/>
        <v>65</v>
      </c>
      <c r="B110" t="s">
        <v>861</v>
      </c>
      <c r="C110" t="str">
        <f>"Sum Lns. ("&amp;A105&amp;" through "&amp;A109&amp;")"</f>
        <v>Sum Lns. (60 through 64)</v>
      </c>
      <c r="D110" s="11">
        <f>SUM(D105:D109)</f>
        <v>30174545.60527388</v>
      </c>
      <c r="I110" s="11">
        <f>SUM(I105:I109)</f>
        <v>13397333.824288756</v>
      </c>
    </row>
    <row r="111" spans="1:9" x14ac:dyDescent="0.25">
      <c r="A111" s="1"/>
      <c r="D111" s="10"/>
    </row>
    <row r="112" spans="1:9" x14ac:dyDescent="0.25">
      <c r="A112" s="1"/>
      <c r="B112" s="17" t="s">
        <v>57</v>
      </c>
      <c r="D112" s="10"/>
    </row>
    <row r="113" spans="1:9" x14ac:dyDescent="0.25">
      <c r="A113" s="1">
        <f>A110+1</f>
        <v>66</v>
      </c>
      <c r="B113" s="7" t="s">
        <v>58</v>
      </c>
      <c r="C113" t="str">
        <f>'P9 (Expenses)'!$F$1&amp;", Ln. "&amp;'P9 (Expenses)'!A27&amp;", Col. "&amp;'P9 (Expenses)'!$F$8</f>
        <v>Worksheet P9, Ln. 11, Col. [e]</v>
      </c>
      <c r="D113" s="10">
        <f>'P9 (Expenses)'!F27</f>
        <v>9420049.1249016579</v>
      </c>
      <c r="F113" s="1" t="s">
        <v>288</v>
      </c>
      <c r="G113" s="27">
        <f>VLOOKUP(F113,'P12 (Allocation Factors)'!$D:$F,3,0)</f>
        <v>0.20910917396042414</v>
      </c>
      <c r="I113" s="10">
        <f t="shared" ref="I113:I117" si="18">D113*G113</f>
        <v>1969818.6911748019</v>
      </c>
    </row>
    <row r="114" spans="1:9" x14ac:dyDescent="0.25">
      <c r="A114" s="1">
        <f>A113+1</f>
        <v>67</v>
      </c>
      <c r="B114" s="7" t="s">
        <v>59</v>
      </c>
      <c r="C114" t="str">
        <f>'P9 (Expenses)'!$F$1&amp;", Ln. "&amp;'P9 (Expenses)'!A28&amp;", Col. "&amp;'P9 (Expenses)'!$F$8</f>
        <v>Worksheet P9, Ln. 12, Col. [e]</v>
      </c>
      <c r="D114" s="10">
        <f>'P9 (Expenses)'!F28</f>
        <v>0</v>
      </c>
      <c r="F114" s="1" t="s">
        <v>288</v>
      </c>
      <c r="G114" s="27">
        <f>VLOOKUP(F114,'P12 (Allocation Factors)'!$D:$F,3,0)</f>
        <v>0.20910917396042414</v>
      </c>
      <c r="I114" s="10">
        <f t="shared" si="18"/>
        <v>0</v>
      </c>
    </row>
    <row r="115" spans="1:9" x14ac:dyDescent="0.25">
      <c r="A115" s="1">
        <f t="shared" ref="A115:A118" si="19">A114+1</f>
        <v>68</v>
      </c>
      <c r="B115" s="7" t="s">
        <v>60</v>
      </c>
      <c r="C115" t="str">
        <f>'P9 (Expenses)'!$F$1&amp;", Ln. "&amp;'P9 (Expenses)'!A42&amp;", Col. "&amp;'P9 (Expenses)'!$F$8</f>
        <v>Worksheet P9, Ln. 19, Col. [e]</v>
      </c>
      <c r="D115" s="10">
        <f>'P9 (Expenses)'!F42</f>
        <v>38197189.00105305</v>
      </c>
      <c r="F115" s="1" t="s">
        <v>333</v>
      </c>
      <c r="G115" s="27">
        <f>VLOOKUP(F115,'P12 (Allocation Factors)'!$D:$F,3,0)</f>
        <v>0.13393681565544452</v>
      </c>
      <c r="I115" s="10">
        <f t="shared" si="18"/>
        <v>5116009.8617902156</v>
      </c>
    </row>
    <row r="116" spans="1:9" x14ac:dyDescent="0.25">
      <c r="A116" s="1">
        <f t="shared" si="19"/>
        <v>69</v>
      </c>
      <c r="B116" s="7" t="s">
        <v>61</v>
      </c>
      <c r="C116" t="str">
        <f>'P9 (Expenses)'!$F$1&amp;", Ln. "&amp;'P9 (Expenses)'!A29&amp;", Col. "&amp;'P9 (Expenses)'!$F$8</f>
        <v>Worksheet P9, Ln. 13, Col. [e]</v>
      </c>
      <c r="D116" s="10">
        <f>'P9 (Expenses)'!F29</f>
        <v>10152743.453081541</v>
      </c>
      <c r="F116" s="1" t="s">
        <v>29</v>
      </c>
      <c r="G116" s="27">
        <f>VLOOKUP(F116,'P12 (Allocation Factors)'!$D:$F,3,0)</f>
        <v>0</v>
      </c>
      <c r="I116" s="10">
        <f t="shared" si="18"/>
        <v>0</v>
      </c>
    </row>
    <row r="117" spans="1:9" x14ac:dyDescent="0.25">
      <c r="A117" s="1">
        <f t="shared" si="19"/>
        <v>70</v>
      </c>
      <c r="B117" s="7" t="s">
        <v>62</v>
      </c>
      <c r="C117" t="str">
        <f>'P9 (Expenses)'!$F$1&amp;", Ln. "&amp;'P9 (Expenses)'!A30&amp;", Col. "&amp;'P9 (Expenses)'!$F$8</f>
        <v>Worksheet P9, Ln. 14, Col. [e]</v>
      </c>
      <c r="D117" s="10">
        <f>'P9 (Expenses)'!F30</f>
        <v>120644.02388615126</v>
      </c>
      <c r="F117" s="1" t="s">
        <v>42</v>
      </c>
      <c r="G117" s="27">
        <f>VLOOKUP(F117,'P12 (Allocation Factors)'!$D:$F,3,0)</f>
        <v>0.12732464827640844</v>
      </c>
      <c r="I117" s="10">
        <f t="shared" si="18"/>
        <v>15360.957907954828</v>
      </c>
    </row>
    <row r="118" spans="1:9" x14ac:dyDescent="0.25">
      <c r="A118" s="1">
        <f t="shared" si="19"/>
        <v>71</v>
      </c>
      <c r="B118" t="str">
        <f>"Total "&amp;B112</f>
        <v>Total Taxes Other than Income Taxes</v>
      </c>
      <c r="C118" t="str">
        <f>"Sum Lns. ("&amp;A113&amp;" through "&amp;A117&amp;")"</f>
        <v>Sum Lns. (66 through 70)</v>
      </c>
      <c r="D118" s="11">
        <f>SUM(D113:D117)</f>
        <v>57890625.602922402</v>
      </c>
      <c r="I118" s="11">
        <f>SUM(I113:I117)</f>
        <v>7101189.5108729722</v>
      </c>
    </row>
    <row r="119" spans="1:9" x14ac:dyDescent="0.25">
      <c r="A119" s="1"/>
      <c r="D119" s="10"/>
    </row>
    <row r="120" spans="1:9" x14ac:dyDescent="0.25">
      <c r="A120" s="1"/>
      <c r="B120" s="63" t="s">
        <v>573</v>
      </c>
      <c r="D120" s="10"/>
    </row>
    <row r="121" spans="1:9" x14ac:dyDescent="0.25">
      <c r="A121" s="1">
        <f>A118+1</f>
        <v>72</v>
      </c>
      <c r="B121" s="15" t="s">
        <v>574</v>
      </c>
      <c r="C121" t="str">
        <f>'Actual Attachment H'!$I$1&amp;", Ln. "&amp;'Actual Attachment H'!A119</f>
        <v>Attachment H (Actuals), Ln. 71</v>
      </c>
      <c r="D121" s="143">
        <f>'Actual Attachment H'!D119</f>
        <v>2.8445718333811813E-2</v>
      </c>
      <c r="I121" s="143">
        <f>'Actual Attachment H'!I119</f>
        <v>2.8445718333811813E-2</v>
      </c>
    </row>
    <row r="122" spans="1:9" x14ac:dyDescent="0.25">
      <c r="A122" s="1">
        <f>A121+1</f>
        <v>73</v>
      </c>
      <c r="B122" t="s">
        <v>575</v>
      </c>
      <c r="C122" t="str">
        <f>'Actual Attachment H'!$I$1&amp;", Ln. "&amp;'Actual Attachment H'!A120</f>
        <v>Attachment H (Actuals), Ln. 72</v>
      </c>
      <c r="D122" s="143">
        <f>'Actual Attachment H'!D120</f>
        <v>5.1857704284227396E-2</v>
      </c>
      <c r="I122" s="143">
        <f>'Actual Attachment H'!I120</f>
        <v>5.1857704284227396E-2</v>
      </c>
    </row>
    <row r="123" spans="1:9" x14ac:dyDescent="0.25">
      <c r="A123" s="1">
        <f>A122+1</f>
        <v>74</v>
      </c>
      <c r="B123" t="s">
        <v>572</v>
      </c>
      <c r="C123" t="str">
        <f>"Lns. ("&amp;A121&amp;" + "&amp;A122&amp;")"</f>
        <v>Lns. (72 + 73)</v>
      </c>
      <c r="D123" s="66">
        <f>SUM(D121:D122)</f>
        <v>8.0303422618039216E-2</v>
      </c>
      <c r="I123" s="66">
        <f>SUM(I121:I122)</f>
        <v>8.0303422618039216E-2</v>
      </c>
    </row>
    <row r="124" spans="1:9" x14ac:dyDescent="0.25">
      <c r="A124" s="1"/>
      <c r="D124" s="10"/>
    </row>
    <row r="125" spans="1:9" x14ac:dyDescent="0.25">
      <c r="A125" s="1">
        <f>A123+1</f>
        <v>75</v>
      </c>
      <c r="B125" t="s">
        <v>582</v>
      </c>
      <c r="C125" t="str">
        <f>"Lns. ("&amp;$A$81&amp;" x "&amp;A122&amp;")"</f>
        <v>Lns. (46 x 73)</v>
      </c>
      <c r="D125" s="10">
        <f>$D$81*D122</f>
        <v>162666610.62628683</v>
      </c>
      <c r="I125" s="10">
        <f>$I$81*I122</f>
        <v>17767288.177973088</v>
      </c>
    </row>
    <row r="126" spans="1:9" x14ac:dyDescent="0.25">
      <c r="A126" s="1">
        <f>A125+1</f>
        <v>76</v>
      </c>
      <c r="B126" t="s">
        <v>581</v>
      </c>
      <c r="C126" t="str">
        <f>"Lns. ("&amp;$A$81&amp;" x "&amp;A121&amp;")"</f>
        <v>Lns. (46 x 72)</v>
      </c>
      <c r="D126" s="10">
        <f>$D$81*D121</f>
        <v>89228180.307213396</v>
      </c>
      <c r="I126" s="10">
        <f>$I$81*I121</f>
        <v>9745963.1513230354</v>
      </c>
    </row>
    <row r="127" spans="1:9" x14ac:dyDescent="0.25">
      <c r="A127" s="1">
        <f>A126+1</f>
        <v>77</v>
      </c>
      <c r="B127" t="s">
        <v>583</v>
      </c>
      <c r="C127" t="str">
        <f>"Lns. ("&amp;A125&amp;" + "&amp;A126&amp;")"</f>
        <v>Lns. (75 + 76)</v>
      </c>
      <c r="D127" s="11">
        <f>SUM(D125:D126)</f>
        <v>251894790.93350023</v>
      </c>
      <c r="I127" s="11">
        <f>SUM(I125:I126)</f>
        <v>27513251.329296123</v>
      </c>
    </row>
    <row r="128" spans="1:9" x14ac:dyDescent="0.25">
      <c r="A128" s="1"/>
      <c r="D128" s="10"/>
    </row>
    <row r="129" spans="1:9" x14ac:dyDescent="0.25">
      <c r="A129" s="1"/>
      <c r="B129" s="12" t="s">
        <v>601</v>
      </c>
      <c r="D129" s="10"/>
    </row>
    <row r="130" spans="1:9" x14ac:dyDescent="0.25">
      <c r="A130" s="1">
        <f>A127+1</f>
        <v>78</v>
      </c>
      <c r="B130" t="s">
        <v>570</v>
      </c>
      <c r="C130" t="str">
        <f>'P10 (Income Tax Rates)'!H1&amp;", Ln. "&amp;'P10 (Income Tax Rates)'!A25</f>
        <v>Worksheet P10, Ln. 8</v>
      </c>
      <c r="D130" s="62">
        <f>'P10 (Income Tax Rates)'!$H$25</f>
        <v>0.22034260269390624</v>
      </c>
      <c r="I130" s="62">
        <f>'P10 (Income Tax Rates)'!$H$25</f>
        <v>0.22034260269390624</v>
      </c>
    </row>
    <row r="131" spans="1:9" x14ac:dyDescent="0.25">
      <c r="A131" s="1">
        <f>A130+1</f>
        <v>79</v>
      </c>
      <c r="B131" t="s">
        <v>600</v>
      </c>
      <c r="C131" t="str">
        <f>"Ln. "&amp;A130&amp;" / (1.0 - Ln. "&amp;A130&amp;")"</f>
        <v>Ln. 78 / (1.0 - Ln. 78)</v>
      </c>
      <c r="D131" s="62">
        <f>D130/(1-D130)</f>
        <v>0.28261465030055971</v>
      </c>
      <c r="I131" s="62">
        <f>I130/(1-I130)</f>
        <v>0.28261465030055971</v>
      </c>
    </row>
    <row r="132" spans="1:9" x14ac:dyDescent="0.25">
      <c r="A132" s="1"/>
      <c r="D132" s="10"/>
    </row>
    <row r="133" spans="1:9" x14ac:dyDescent="0.25">
      <c r="A133" s="1">
        <f>A131+1</f>
        <v>80</v>
      </c>
      <c r="B133" s="15" t="s">
        <v>868</v>
      </c>
      <c r="C133" t="str">
        <f>'P6 (Excess and Deficient DIT)'!AJ1&amp;", Ln. "&amp;'P6 (Excess and Deficient DIT)'!A39&amp;", Col. [dd] x -1.0"</f>
        <v>Worksheet P6, Ln. 9, Col. [dd] x -1.0</v>
      </c>
      <c r="D133" s="10"/>
      <c r="I133" s="10">
        <f>-'P6 (Excess and Deficient DIT)'!AF39</f>
        <v>-680760.71944156999</v>
      </c>
    </row>
    <row r="134" spans="1:9" x14ac:dyDescent="0.25">
      <c r="A134" s="1">
        <f>A133+1</f>
        <v>81</v>
      </c>
      <c r="B134" s="15" t="s">
        <v>576</v>
      </c>
      <c r="C134" t="str">
        <f>'Actual Attachment H'!$I$1&amp;", Ln. "&amp;'Actual Attachment H'!A132</f>
        <v>Attachment H (Actuals), Ln. 80</v>
      </c>
      <c r="D134" s="10">
        <f>'Actual Attachment H'!D132</f>
        <v>6602291.2581527373</v>
      </c>
      <c r="I134" s="10">
        <f>'Actual Attachment H'!I132</f>
        <v>-884280.907161774</v>
      </c>
    </row>
    <row r="135" spans="1:9" x14ac:dyDescent="0.25">
      <c r="A135" s="1"/>
      <c r="B135" s="15"/>
      <c r="D135" s="10"/>
    </row>
    <row r="136" spans="1:9" x14ac:dyDescent="0.25">
      <c r="A136" s="1"/>
      <c r="B136" s="17" t="s">
        <v>63</v>
      </c>
      <c r="D136" s="10"/>
    </row>
    <row r="137" spans="1:9" x14ac:dyDescent="0.25">
      <c r="A137" s="1">
        <f>A134+1</f>
        <v>82</v>
      </c>
      <c r="B137" s="7" t="s">
        <v>577</v>
      </c>
      <c r="C137" t="str">
        <f>"Lns. ("&amp;A125&amp;" x "&amp;A131&amp;")"</f>
        <v>Lns. (75 x 79)</v>
      </c>
      <c r="D137" s="10">
        <f>D131*D125</f>
        <v>45971967.277725361</v>
      </c>
      <c r="I137" s="10">
        <f>I131*I125</f>
        <v>5021295.9352071332</v>
      </c>
    </row>
    <row r="138" spans="1:9" x14ac:dyDescent="0.25">
      <c r="A138" s="1">
        <f>A137+1</f>
        <v>83</v>
      </c>
      <c r="B138" s="7" t="s">
        <v>579</v>
      </c>
      <c r="C138" t="str">
        <f>"(1.0 + Ln. "&amp;A131&amp;") x Ln. "&amp;A133</f>
        <v>(1.0 + Ln. 79) x Ln. 80</v>
      </c>
      <c r="D138" s="10">
        <f>(1+D131)*D133</f>
        <v>0</v>
      </c>
      <c r="I138" s="10">
        <f>(1+I131)*I133</f>
        <v>-873153.67210490676</v>
      </c>
    </row>
    <row r="139" spans="1:9" x14ac:dyDescent="0.25">
      <c r="A139" s="1">
        <f t="shared" ref="A139:A140" si="20">A138+1</f>
        <v>84</v>
      </c>
      <c r="B139" s="7" t="s">
        <v>580</v>
      </c>
      <c r="C139" t="str">
        <f>"(1.0 + Ln. "&amp;A131&amp;") x Ln. "&amp;A130&amp;" x Ln. "&amp;A134</f>
        <v>(1.0 + Ln. 79) x Ln. 78 x Ln. 81</v>
      </c>
      <c r="D139" s="10">
        <f>(1+D131)*D130*D134</f>
        <v>1865904.2351052782</v>
      </c>
      <c r="I139" s="10">
        <f>(1+I131)*I130*I134</f>
        <v>-249910.73934498648</v>
      </c>
    </row>
    <row r="140" spans="1:9" x14ac:dyDescent="0.25">
      <c r="A140" s="1">
        <f t="shared" si="20"/>
        <v>85</v>
      </c>
      <c r="B140" s="15" t="s">
        <v>578</v>
      </c>
      <c r="C140" t="str">
        <f>"Sum Lns. ("&amp;A137&amp;" through "&amp;A139&amp;")"</f>
        <v>Sum Lns. (82 through 84)</v>
      </c>
      <c r="D140" s="11">
        <f>SUM(D137:D139)</f>
        <v>47837871.512830637</v>
      </c>
      <c r="I140" s="11">
        <f>SUM(I137:I139)</f>
        <v>3898231.5237572398</v>
      </c>
    </row>
    <row r="141" spans="1:9" x14ac:dyDescent="0.25">
      <c r="A141" s="1"/>
      <c r="B141" s="15"/>
      <c r="D141" s="10"/>
    </row>
    <row r="142" spans="1:9" x14ac:dyDescent="0.25">
      <c r="A142" s="1">
        <f>A140+1</f>
        <v>86</v>
      </c>
      <c r="B142" s="15" t="s">
        <v>733</v>
      </c>
      <c r="C142" t="str">
        <f>'P11 (Incentive Plant)'!AS1&amp;", Ln. "&amp;'P11 (Incentive Plant)'!A19&amp;", Col. [qq]"</f>
        <v>Worksheet P11, Ln. 2, Col. [qq]</v>
      </c>
      <c r="D142" s="10"/>
      <c r="I142" s="10">
        <f>'P11 (Incentive Plant)'!AR19</f>
        <v>0</v>
      </c>
    </row>
    <row r="143" spans="1:9" x14ac:dyDescent="0.25">
      <c r="A143" s="1"/>
      <c r="D143" s="10"/>
    </row>
    <row r="144" spans="1:9" x14ac:dyDescent="0.25">
      <c r="A144" s="1">
        <f>A142+1</f>
        <v>87</v>
      </c>
      <c r="B144" t="s">
        <v>13</v>
      </c>
      <c r="C144" t="str">
        <f>"Sum Lns. ("&amp;A102&amp;", "&amp;A110&amp;", "&amp;A118&amp;", "&amp;A127&amp;", "&amp;A140&amp;", and "&amp;A142&amp;")"</f>
        <v>Sum Lns. (59, 65, 71, 77, 85, and 86)</v>
      </c>
      <c r="D144" s="19">
        <f>D102+D110+D118+D127+D140+D142</f>
        <v>496667141.18004739</v>
      </c>
      <c r="I144" s="19">
        <f>I102+I110+I118+I127+I140+I142</f>
        <v>86228148.694473073</v>
      </c>
    </row>
    <row r="145" spans="1:9" x14ac:dyDescent="0.25">
      <c r="A145" s="1"/>
      <c r="B145" s="15"/>
      <c r="D145" s="10"/>
    </row>
    <row r="146" spans="1:9" ht="5.25" customHeight="1" x14ac:dyDescent="0.25">
      <c r="A146" s="14"/>
      <c r="B146" s="5"/>
      <c r="C146" s="5"/>
      <c r="D146" s="64"/>
      <c r="E146" s="5"/>
      <c r="F146" s="5"/>
      <c r="G146" s="5"/>
      <c r="H146" s="5"/>
      <c r="I146" s="64"/>
    </row>
    <row r="147" spans="1:9" ht="5.25" customHeight="1" x14ac:dyDescent="0.25">
      <c r="A147" s="1"/>
      <c r="D147" s="10"/>
    </row>
    <row r="148" spans="1:9" x14ac:dyDescent="0.25">
      <c r="A148" s="22" t="str">
        <f>note</f>
        <v>Notes and Sources:</v>
      </c>
      <c r="D148" s="10"/>
    </row>
    <row r="149" spans="1:9" ht="16.350000000000001" customHeight="1" x14ac:dyDescent="0.25">
      <c r="A149" s="85">
        <v>1</v>
      </c>
      <c r="B149" s="265" t="s">
        <v>1016</v>
      </c>
      <c r="C149" s="265"/>
      <c r="D149" s="265"/>
      <c r="E149" s="265"/>
      <c r="F149" s="265"/>
      <c r="G149" s="265"/>
      <c r="H149" s="265"/>
      <c r="I149" s="265"/>
    </row>
    <row r="150" spans="1:9" ht="18.75" x14ac:dyDescent="0.25">
      <c r="A150" s="23">
        <v>2</v>
      </c>
      <c r="B150" t="s">
        <v>867</v>
      </c>
      <c r="D150" s="10"/>
    </row>
    <row r="151" spans="1:9" ht="50.25" customHeight="1" x14ac:dyDescent="0.25">
      <c r="A151" s="85">
        <v>3</v>
      </c>
      <c r="B151" s="265" t="str">
        <f>"Fixed other post-employment benefits (OPEB) expense of ($3,848,723) as established in Docket No. ER22-282-000. This amount cannot be modified abset a ruling from the Commission."&amp;" The fixed OPEB expense will be used in lieu of the actual OPEB expense incurred in the year absent FERC approval."&amp;" The Company reviews internal records and identifies the PBOP expenses to be removed from A&amp;G as shown on "&amp;'A16 (Operating Expenses)'!I1&amp;", line "&amp;'A16 (Operating Expenses)'!A19&amp;". "</f>
        <v xml:space="preserve">Fixed other post-employment benefits (OPEB) expense of ($3,848,723) as established in Docket No. ER22-282-000. This amount cannot be modified abset a ruling from the Commission. The fixed OPEB expense will be used in lieu of the actual OPEB expense incurred in the year absent FERC approval. The Company reviews internal records and identifies the PBOP expenses to be removed from A&amp;G as shown on Worksheet A16, line 6. </v>
      </c>
      <c r="C151" s="265"/>
      <c r="D151" s="265"/>
      <c r="E151" s="265"/>
      <c r="F151" s="265"/>
      <c r="G151" s="265"/>
      <c r="H151" s="265"/>
      <c r="I151" s="265"/>
    </row>
    <row r="152" spans="1:9" ht="18.75" x14ac:dyDescent="0.25">
      <c r="A152" s="85">
        <v>4</v>
      </c>
      <c r="B152" s="15" t="str">
        <f>"Throughout this Formula Rate Template (Projected), network allocators are sourced from "&amp;'P12 (Allocation Factors)'!F1&amp;". "</f>
        <v xml:space="preserve">Throughout this Formula Rate Template (Projected), network allocators are sourced from Worksheet P12. </v>
      </c>
      <c r="C152" s="141"/>
      <c r="D152" s="141"/>
      <c r="E152" s="141"/>
      <c r="F152" s="141"/>
      <c r="G152" s="141"/>
      <c r="H152" s="141"/>
      <c r="I152" s="141"/>
    </row>
    <row r="153" spans="1:9" ht="18.75" x14ac:dyDescent="0.25">
      <c r="A153" s="85">
        <v>5</v>
      </c>
      <c r="B153" t="s">
        <v>1020</v>
      </c>
      <c r="C153" s="141"/>
      <c r="D153" s="141"/>
      <c r="E153" s="141"/>
      <c r="F153" s="141"/>
      <c r="G153" s="141"/>
      <c r="H153" s="141"/>
      <c r="I153" s="141"/>
    </row>
    <row r="154" spans="1:9" ht="5.25" customHeight="1" thickBot="1" x14ac:dyDescent="0.3">
      <c r="A154" s="24"/>
      <c r="B154" s="4"/>
      <c r="C154" s="4"/>
      <c r="D154" s="67"/>
      <c r="E154" s="4"/>
      <c r="F154" s="4"/>
      <c r="G154" s="4"/>
      <c r="H154" s="4"/>
      <c r="I154" s="67"/>
    </row>
    <row r="155" spans="1:9" ht="5.25" customHeight="1" thickTop="1" x14ac:dyDescent="0.25">
      <c r="A155" s="1"/>
      <c r="D155" s="10"/>
    </row>
    <row r="156" spans="1:9" x14ac:dyDescent="0.25">
      <c r="A156" s="1"/>
      <c r="D156" s="10"/>
    </row>
    <row r="157" spans="1:9" x14ac:dyDescent="0.25">
      <c r="A157" s="1"/>
      <c r="D157" s="10"/>
    </row>
    <row r="158" spans="1:9" x14ac:dyDescent="0.25">
      <c r="A158" s="1"/>
      <c r="D158" s="10"/>
    </row>
    <row r="159" spans="1:9" x14ac:dyDescent="0.25">
      <c r="A159" s="1"/>
      <c r="D159" s="10"/>
    </row>
    <row r="160" spans="1:9" x14ac:dyDescent="0.25">
      <c r="A160" s="1"/>
      <c r="D160" s="10"/>
    </row>
    <row r="161" spans="1:4" x14ac:dyDescent="0.25">
      <c r="A161" s="1"/>
      <c r="D161" s="10"/>
    </row>
    <row r="162" spans="1:4" x14ac:dyDescent="0.25">
      <c r="A162" s="1"/>
      <c r="D162" s="10"/>
    </row>
    <row r="163" spans="1:4" x14ac:dyDescent="0.25">
      <c r="A163" s="1"/>
      <c r="D163" s="10"/>
    </row>
    <row r="164" spans="1:4" x14ac:dyDescent="0.25">
      <c r="A164" s="1"/>
      <c r="D164" s="10"/>
    </row>
    <row r="165" spans="1:4" x14ac:dyDescent="0.25">
      <c r="A165" s="1"/>
      <c r="D165" s="10"/>
    </row>
    <row r="166" spans="1:4" x14ac:dyDescent="0.25">
      <c r="A166" s="1"/>
      <c r="D166" s="10"/>
    </row>
  </sheetData>
  <mergeCells count="8">
    <mergeCell ref="B149:I149"/>
    <mergeCell ref="B151:I151"/>
    <mergeCell ref="A7:A9"/>
    <mergeCell ref="B7:B8"/>
    <mergeCell ref="C7:C8"/>
    <mergeCell ref="D7:D8"/>
    <mergeCell ref="F7:G7"/>
    <mergeCell ref="I7:I8"/>
  </mergeCells>
  <phoneticPr fontId="7" type="noConversion"/>
  <pageMargins left="0.7" right="0.7" top="0.75" bottom="0.75" header="0.3" footer="0.3"/>
  <pageSetup scale="70" fitToHeight="0" orientation="landscape" r:id="rId1"/>
  <headerFooter>
    <oddFooter>&amp;L&amp;6{W0327924.2 }</oddFooter>
  </headerFooter>
  <rowBreaks count="4" manualBreakCount="4">
    <brk id="35" max="16383" man="1"/>
    <brk id="72" max="16383" man="1"/>
    <brk id="110" max="8" man="1"/>
    <brk id="14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37"/>
  <sheetViews>
    <sheetView workbookViewId="0"/>
  </sheetViews>
  <sheetFormatPr defaultRowHeight="15.75" x14ac:dyDescent="0.25"/>
  <cols>
    <col min="1" max="1" width="5" style="1" customWidth="1"/>
    <col min="2" max="2" width="25.625" customWidth="1"/>
    <col min="3" max="3" width="15.625" customWidth="1"/>
    <col min="4" max="4" width="16.5" customWidth="1"/>
    <col min="5" max="5" width="15.625" customWidth="1"/>
  </cols>
  <sheetData>
    <row r="1" spans="1:5" x14ac:dyDescent="0.25">
      <c r="A1" s="6" t="str">
        <f>epe</f>
        <v>El Paso Electric Company</v>
      </c>
      <c r="E1" s="8" t="s">
        <v>874</v>
      </c>
    </row>
    <row r="2" spans="1:5" x14ac:dyDescent="0.25">
      <c r="A2" t="str">
        <f>frtp</f>
        <v>Formula Rate Template (Projected)</v>
      </c>
    </row>
    <row r="3" spans="1:5" x14ac:dyDescent="0.25">
      <c r="A3" t="s">
        <v>603</v>
      </c>
    </row>
    <row r="4" spans="1:5" x14ac:dyDescent="0.25">
      <c r="A4" t="str">
        <f>"12 Months Ended December 31, "&amp;YEAR('A1 (FF1 Inputs)'!$E$12)+2</f>
        <v>12 Months Ended December 31, 2022</v>
      </c>
    </row>
    <row r="5" spans="1:5" ht="5.25" customHeight="1" thickBot="1" x14ac:dyDescent="0.3">
      <c r="A5" s="4"/>
      <c r="B5" s="4"/>
      <c r="C5" s="4"/>
      <c r="D5" s="4"/>
      <c r="E5" s="4"/>
    </row>
    <row r="6" spans="1:5" ht="5.25" customHeight="1" thickTop="1" x14ac:dyDescent="0.25">
      <c r="A6"/>
    </row>
    <row r="7" spans="1:5" s="40" customFormat="1" ht="66" x14ac:dyDescent="0.25">
      <c r="A7" s="266" t="str">
        <f>ln</f>
        <v>Line No.</v>
      </c>
      <c r="B7" s="40" t="s">
        <v>363</v>
      </c>
      <c r="C7" s="40" t="s">
        <v>875</v>
      </c>
      <c r="D7" s="40" t="s">
        <v>876</v>
      </c>
      <c r="E7" s="40" t="s">
        <v>877</v>
      </c>
    </row>
    <row r="8" spans="1:5" s="1" customFormat="1" x14ac:dyDescent="0.25">
      <c r="A8" s="266"/>
      <c r="B8" s="2" t="s">
        <v>7</v>
      </c>
      <c r="C8" s="2" t="s">
        <v>8</v>
      </c>
      <c r="D8" s="2" t="s">
        <v>9</v>
      </c>
      <c r="E8" s="2" t="s">
        <v>10</v>
      </c>
    </row>
    <row r="9" spans="1:5" ht="5.25" customHeight="1" x14ac:dyDescent="0.25">
      <c r="A9" s="5"/>
      <c r="B9" s="5"/>
      <c r="C9" s="5"/>
      <c r="D9" s="5"/>
      <c r="E9" s="5"/>
    </row>
    <row r="10" spans="1:5" ht="5.25" customHeight="1" x14ac:dyDescent="0.25">
      <c r="A10"/>
    </row>
    <row r="11" spans="1:5" ht="25.5" x14ac:dyDescent="0.25">
      <c r="A11" s="2">
        <v>1</v>
      </c>
      <c r="B11" s="78" t="s">
        <v>707</v>
      </c>
      <c r="C11" s="79" t="str">
        <f>'A2 (Divisor)'!J1&amp;", Col. [i]"</f>
        <v>Worksheet A2, Col. [i]</v>
      </c>
      <c r="D11" s="79"/>
      <c r="E11" s="79"/>
    </row>
    <row r="12" spans="1:5" x14ac:dyDescent="0.25">
      <c r="A12" s="1">
        <f>A11+1</f>
        <v>2</v>
      </c>
      <c r="B12" t="s">
        <v>79</v>
      </c>
      <c r="C12" s="68">
        <f>'A2 (Divisor)'!J12</f>
        <v>2352</v>
      </c>
      <c r="D12" s="144">
        <f>C12/MAX($C$12:$C$23)</f>
        <v>0.68233246301131423</v>
      </c>
      <c r="E12" s="68">
        <f>$C$35*D12</f>
        <v>2268.7554395126199</v>
      </c>
    </row>
    <row r="13" spans="1:5" x14ac:dyDescent="0.25">
      <c r="A13" s="1">
        <f t="shared" ref="A13:A24" si="0">A12+1</f>
        <v>3</v>
      </c>
      <c r="B13" t="s">
        <v>80</v>
      </c>
      <c r="C13" s="68">
        <f>'A2 (Divisor)'!J13</f>
        <v>2407</v>
      </c>
      <c r="D13" s="144">
        <f t="shared" ref="D13:D23" si="1">C13/MAX($C$12:$C$23)</f>
        <v>0.6982883666956774</v>
      </c>
      <c r="E13" s="68">
        <f t="shared" ref="E13:E23" si="2">$C$35*D13</f>
        <v>2321.8088192631271</v>
      </c>
    </row>
    <row r="14" spans="1:5" x14ac:dyDescent="0.25">
      <c r="A14" s="1">
        <f t="shared" si="0"/>
        <v>4</v>
      </c>
      <c r="B14" t="s">
        <v>81</v>
      </c>
      <c r="C14" s="68">
        <f>'A2 (Divisor)'!J14</f>
        <v>2289</v>
      </c>
      <c r="D14" s="144">
        <f t="shared" si="1"/>
        <v>0.66405570060922536</v>
      </c>
      <c r="E14" s="68">
        <f t="shared" si="2"/>
        <v>2207.9852045256744</v>
      </c>
    </row>
    <row r="15" spans="1:5" x14ac:dyDescent="0.25">
      <c r="A15" s="1">
        <f t="shared" si="0"/>
        <v>5</v>
      </c>
      <c r="B15" t="s">
        <v>82</v>
      </c>
      <c r="C15" s="68">
        <f>'A2 (Divisor)'!J15</f>
        <v>2660</v>
      </c>
      <c r="D15" s="144">
        <f t="shared" si="1"/>
        <v>0.77168552364374821</v>
      </c>
      <c r="E15" s="68">
        <f t="shared" si="2"/>
        <v>2565.8543661154627</v>
      </c>
    </row>
    <row r="16" spans="1:5" x14ac:dyDescent="0.25">
      <c r="A16" s="1">
        <f t="shared" si="0"/>
        <v>6</v>
      </c>
      <c r="B16" t="s">
        <v>83</v>
      </c>
      <c r="C16" s="68">
        <f>'A2 (Divisor)'!J16</f>
        <v>2924</v>
      </c>
      <c r="D16" s="144">
        <f t="shared" si="1"/>
        <v>0.84827386132869165</v>
      </c>
      <c r="E16" s="68">
        <f t="shared" si="2"/>
        <v>2820.5105889178999</v>
      </c>
    </row>
    <row r="17" spans="1:5" x14ac:dyDescent="0.25">
      <c r="A17" s="1">
        <f t="shared" si="0"/>
        <v>7</v>
      </c>
      <c r="B17" t="s">
        <v>84</v>
      </c>
      <c r="C17" s="68">
        <f>'A2 (Divisor)'!J17</f>
        <v>3206</v>
      </c>
      <c r="D17" s="144">
        <f t="shared" si="1"/>
        <v>0.93008413112851751</v>
      </c>
      <c r="E17" s="68">
        <f t="shared" si="2"/>
        <v>3092.5297360023205</v>
      </c>
    </row>
    <row r="18" spans="1:5" x14ac:dyDescent="0.25">
      <c r="A18" s="1">
        <f t="shared" si="0"/>
        <v>8</v>
      </c>
      <c r="B18" t="s">
        <v>85</v>
      </c>
      <c r="C18" s="68">
        <f>'A2 (Divisor)'!J18</f>
        <v>3447</v>
      </c>
      <c r="D18" s="144">
        <f t="shared" si="1"/>
        <v>1</v>
      </c>
      <c r="E18" s="68">
        <f t="shared" si="2"/>
        <v>3325</v>
      </c>
    </row>
    <row r="19" spans="1:5" x14ac:dyDescent="0.25">
      <c r="A19" s="1">
        <f t="shared" si="0"/>
        <v>9</v>
      </c>
      <c r="B19" t="s">
        <v>86</v>
      </c>
      <c r="C19" s="68">
        <f>'A2 (Divisor)'!J19</f>
        <v>3374</v>
      </c>
      <c r="D19" s="144">
        <f t="shared" si="1"/>
        <v>0.9788221642007543</v>
      </c>
      <c r="E19" s="68">
        <f t="shared" si="2"/>
        <v>3254.583695967508</v>
      </c>
    </row>
    <row r="20" spans="1:5" x14ac:dyDescent="0.25">
      <c r="A20" s="1">
        <f t="shared" si="0"/>
        <v>10</v>
      </c>
      <c r="B20" t="s">
        <v>87</v>
      </c>
      <c r="C20" s="68">
        <f>'A2 (Divisor)'!J20</f>
        <v>3144</v>
      </c>
      <c r="D20" s="144">
        <f t="shared" si="1"/>
        <v>0.91209747606614444</v>
      </c>
      <c r="E20" s="68">
        <f t="shared" si="2"/>
        <v>3032.7241079199302</v>
      </c>
    </row>
    <row r="21" spans="1:5" x14ac:dyDescent="0.25">
      <c r="A21" s="1">
        <f t="shared" si="0"/>
        <v>11</v>
      </c>
      <c r="B21" t="s">
        <v>88</v>
      </c>
      <c r="C21" s="68">
        <f>'A2 (Divisor)'!J21</f>
        <v>2723</v>
      </c>
      <c r="D21" s="144">
        <f t="shared" si="1"/>
        <v>0.78996228604583696</v>
      </c>
      <c r="E21" s="68">
        <f t="shared" si="2"/>
        <v>2626.6246011024077</v>
      </c>
    </row>
    <row r="22" spans="1:5" x14ac:dyDescent="0.25">
      <c r="A22" s="1">
        <f t="shared" si="0"/>
        <v>12</v>
      </c>
      <c r="B22" t="s">
        <v>89</v>
      </c>
      <c r="C22" s="68">
        <f>'A2 (Divisor)'!J22</f>
        <v>2316</v>
      </c>
      <c r="D22" s="144">
        <f t="shared" si="1"/>
        <v>0.67188859878154916</v>
      </c>
      <c r="E22" s="68">
        <f t="shared" si="2"/>
        <v>2234.0295909486508</v>
      </c>
    </row>
    <row r="23" spans="1:5" x14ac:dyDescent="0.25">
      <c r="A23" s="1">
        <f t="shared" si="0"/>
        <v>13</v>
      </c>
      <c r="B23" t="s">
        <v>90</v>
      </c>
      <c r="C23" s="68">
        <f>'A2 (Divisor)'!J23</f>
        <v>2371</v>
      </c>
      <c r="D23" s="144">
        <f t="shared" si="1"/>
        <v>0.68784450246591233</v>
      </c>
      <c r="E23" s="68">
        <f t="shared" si="2"/>
        <v>2287.0829706991585</v>
      </c>
    </row>
    <row r="24" spans="1:5" x14ac:dyDescent="0.25">
      <c r="A24" s="1">
        <f t="shared" si="0"/>
        <v>14</v>
      </c>
      <c r="B24" t="s">
        <v>609</v>
      </c>
      <c r="C24" s="69">
        <f>SUM(C12:C23)</f>
        <v>33213</v>
      </c>
      <c r="D24" s="69"/>
      <c r="E24" s="69">
        <f t="shared" ref="E24" si="3">SUM(E12:E23)</f>
        <v>32037.489120974758</v>
      </c>
    </row>
    <row r="25" spans="1:5" x14ac:dyDescent="0.25">
      <c r="C25" s="10"/>
      <c r="D25" s="10"/>
      <c r="E25" s="10"/>
    </row>
    <row r="26" spans="1:5" x14ac:dyDescent="0.25">
      <c r="A26" s="1">
        <f>A24+1</f>
        <v>15</v>
      </c>
      <c r="B26" t="str">
        <f>"12-Month CP Average (Ln. "&amp;A24&amp;" / 12 Months)"</f>
        <v>12-Month CP Average (Ln. 14 / 12 Months)</v>
      </c>
      <c r="C26" s="10"/>
      <c r="D26" s="10"/>
      <c r="E26" s="70">
        <f>E24/12</f>
        <v>2669.79076008123</v>
      </c>
    </row>
    <row r="27" spans="1:5" x14ac:dyDescent="0.25">
      <c r="A27" s="1">
        <f>A26+1</f>
        <v>16</v>
      </c>
      <c r="B27" t="str">
        <f>"12-Month CP Average (kW) (Ln. "&amp;A26&amp;" x 1,000)"</f>
        <v>12-Month CP Average (kW) (Ln. 15 x 1,000)</v>
      </c>
      <c r="C27" s="10"/>
      <c r="D27" s="10"/>
      <c r="E27" s="70">
        <f>E26*1000</f>
        <v>2669790.7600812302</v>
      </c>
    </row>
    <row r="28" spans="1:5" ht="5.25" customHeight="1" x14ac:dyDescent="0.25">
      <c r="A28" s="14"/>
      <c r="B28" s="5"/>
      <c r="C28" s="5"/>
      <c r="D28" s="5"/>
      <c r="E28" s="5"/>
    </row>
    <row r="29" spans="1:5" ht="5.25" customHeight="1" x14ac:dyDescent="0.25"/>
    <row r="30" spans="1:5" x14ac:dyDescent="0.25">
      <c r="A30" s="22" t="str">
        <f>note</f>
        <v>Notes and Sources:</v>
      </c>
    </row>
    <row r="31" spans="1:5" ht="31.5" customHeight="1" x14ac:dyDescent="0.25">
      <c r="A31" s="85">
        <v>1</v>
      </c>
      <c r="B31" s="265" t="str">
        <f>"Percentages in column "&amp;D8&amp;" equal the peak load for each month (as shown in column "&amp;C8&amp;") divided by the maximum network transmission load shown in column "&amp;C8&amp;"."</f>
        <v>Percentages in column [c] equal the peak load for each month (as shown in column [b]) divided by the maximum network transmission load shown in column [b].</v>
      </c>
      <c r="C31" s="265"/>
      <c r="D31" s="265"/>
      <c r="E31" s="265"/>
    </row>
    <row r="32" spans="1:5" ht="45" customHeight="1" x14ac:dyDescent="0.25">
      <c r="A32" s="85">
        <v>2</v>
      </c>
      <c r="B32" s="265" t="str">
        <f>"Projected network transmission load for each month equals the monthly percentage listed in column "&amp;D8&amp;" multiplied by the maximum hourly load measured on the Company's system in the year during which this projection is being developed as shown below:"</f>
        <v>Projected network transmission load for each month equals the monthly percentage listed in column [c] multiplied by the maximum hourly load measured on the Company's system in the year during which this projection is being developed as shown below:</v>
      </c>
      <c r="C32" s="265"/>
      <c r="D32" s="265"/>
      <c r="E32" s="265"/>
    </row>
    <row r="33" spans="1:5" ht="7.5" customHeight="1" x14ac:dyDescent="0.25">
      <c r="A33" s="85"/>
      <c r="B33" s="141"/>
      <c r="C33" s="141"/>
      <c r="D33" s="141"/>
      <c r="E33" s="141"/>
    </row>
    <row r="34" spans="1:5" ht="15.75" customHeight="1" x14ac:dyDescent="0.25">
      <c r="A34" s="85"/>
      <c r="B34" s="145" t="s">
        <v>878</v>
      </c>
      <c r="C34" s="147">
        <f>YEAR('A1 (FF1 Inputs)'!E12)+1</f>
        <v>2021</v>
      </c>
      <c r="D34" s="141"/>
      <c r="E34" s="141"/>
    </row>
    <row r="35" spans="1:5" ht="15.75" customHeight="1" x14ac:dyDescent="0.25">
      <c r="A35" s="85"/>
      <c r="B35" s="145" t="s">
        <v>879</v>
      </c>
      <c r="C35" s="146">
        <f>2051+824+50+400</f>
        <v>3325</v>
      </c>
      <c r="D35" s="141"/>
      <c r="E35" s="141"/>
    </row>
    <row r="36" spans="1:5" ht="5.25" customHeight="1" thickBot="1" x14ac:dyDescent="0.3">
      <c r="A36" s="24"/>
      <c r="B36" s="4"/>
      <c r="C36" s="4"/>
      <c r="D36" s="4"/>
      <c r="E36" s="4"/>
    </row>
    <row r="37" spans="1:5" ht="5.25" customHeight="1" thickTop="1" x14ac:dyDescent="0.25"/>
  </sheetData>
  <mergeCells count="3">
    <mergeCell ref="A7:A8"/>
    <mergeCell ref="B31:E31"/>
    <mergeCell ref="B32:E32"/>
  </mergeCells>
  <pageMargins left="0.7" right="0.7" top="0.75" bottom="0.75" header="0.3" footer="0.3"/>
  <pageSetup orientation="portrait" horizontalDpi="1200" verticalDpi="1200" r:id="rId1"/>
  <headerFooter>
    <oddFooter>&amp;L&amp;6{W0327924.2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L54"/>
  <sheetViews>
    <sheetView workbookViewId="0"/>
  </sheetViews>
  <sheetFormatPr defaultRowHeight="15.75" x14ac:dyDescent="0.25"/>
  <cols>
    <col min="1" max="1" width="5.25" style="1" customWidth="1"/>
    <col min="2" max="2" width="13" customWidth="1"/>
    <col min="3" max="3" width="10.5" customWidth="1"/>
    <col min="4" max="4" width="14.125" customWidth="1"/>
    <col min="5" max="5" width="11.125" customWidth="1"/>
    <col min="6" max="7" width="14.125" customWidth="1"/>
    <col min="8" max="9" width="11" customWidth="1"/>
    <col min="10" max="12" width="14.125" customWidth="1"/>
  </cols>
  <sheetData>
    <row r="1" spans="1:12" x14ac:dyDescent="0.25">
      <c r="A1" s="6" t="str">
        <f>epe</f>
        <v>El Paso Electric Company</v>
      </c>
      <c r="L1" s="8" t="s">
        <v>873</v>
      </c>
    </row>
    <row r="2" spans="1:12" x14ac:dyDescent="0.25">
      <c r="A2" t="str">
        <f>frtp</f>
        <v>Formula Rate Template (Projected)</v>
      </c>
    </row>
    <row r="3" spans="1:12" x14ac:dyDescent="0.25">
      <c r="A3" t="s">
        <v>927</v>
      </c>
    </row>
    <row r="4" spans="1:12" x14ac:dyDescent="0.25">
      <c r="A4" t="str">
        <f>"12 Months Ended December 31, "&amp;YEAR('A1 (FF1 Inputs)'!$E$12)+2</f>
        <v>12 Months Ended December 31, 2022</v>
      </c>
    </row>
    <row r="5" spans="1:12" ht="5.25" customHeight="1" thickBot="1" x14ac:dyDescent="0.3">
      <c r="A5" s="4"/>
      <c r="B5" s="4"/>
      <c r="C5" s="4"/>
      <c r="D5" s="4"/>
      <c r="E5" s="4"/>
      <c r="F5" s="4"/>
      <c r="G5" s="4"/>
      <c r="H5" s="4"/>
      <c r="I5" s="4"/>
      <c r="J5" s="4"/>
      <c r="K5" s="4"/>
      <c r="L5" s="4"/>
    </row>
    <row r="6" spans="1:12" ht="5.25" customHeight="1" thickTop="1" x14ac:dyDescent="0.25">
      <c r="A6"/>
    </row>
    <row r="7" spans="1:12" s="1" customFormat="1" ht="81.75" x14ac:dyDescent="0.25">
      <c r="A7" s="40" t="str">
        <f>ln</f>
        <v>Line No.</v>
      </c>
      <c r="B7" s="1" t="s">
        <v>363</v>
      </c>
      <c r="C7" s="1" t="s">
        <v>822</v>
      </c>
      <c r="D7" s="40" t="s">
        <v>928</v>
      </c>
      <c r="E7" s="40" t="s">
        <v>929</v>
      </c>
      <c r="F7" s="40" t="s">
        <v>931</v>
      </c>
      <c r="G7" s="40" t="s">
        <v>933</v>
      </c>
      <c r="H7" s="40" t="s">
        <v>937</v>
      </c>
      <c r="I7" s="40" t="s">
        <v>934</v>
      </c>
      <c r="J7" s="40" t="s">
        <v>935</v>
      </c>
      <c r="K7" s="40" t="s">
        <v>936</v>
      </c>
      <c r="L7" s="40" t="s">
        <v>930</v>
      </c>
    </row>
    <row r="8" spans="1:12" s="1" customFormat="1" x14ac:dyDescent="0.25">
      <c r="A8" s="3"/>
      <c r="B8" s="1" t="s">
        <v>7</v>
      </c>
      <c r="C8" s="1" t="s">
        <v>8</v>
      </c>
      <c r="D8" s="40" t="s">
        <v>9</v>
      </c>
      <c r="E8" s="40" t="s">
        <v>10</v>
      </c>
      <c r="F8" s="40" t="s">
        <v>11</v>
      </c>
      <c r="G8" s="40" t="s">
        <v>12</v>
      </c>
      <c r="H8" s="40" t="s">
        <v>91</v>
      </c>
      <c r="I8" s="40" t="s">
        <v>92</v>
      </c>
      <c r="J8" s="40" t="s">
        <v>93</v>
      </c>
      <c r="K8" s="40" t="s">
        <v>94</v>
      </c>
      <c r="L8" s="40" t="s">
        <v>942</v>
      </c>
    </row>
    <row r="9" spans="1:12" ht="5.25" customHeight="1" x14ac:dyDescent="0.25">
      <c r="A9" s="5"/>
      <c r="B9" s="5"/>
      <c r="C9" s="5"/>
      <c r="D9" s="5"/>
      <c r="E9" s="5"/>
      <c r="F9" s="5"/>
      <c r="G9" s="5"/>
      <c r="H9" s="5"/>
      <c r="I9" s="5"/>
      <c r="J9" s="5"/>
      <c r="K9" s="5"/>
      <c r="L9" s="5"/>
    </row>
    <row r="10" spans="1:12" ht="5.25" customHeight="1" x14ac:dyDescent="0.25">
      <c r="A10"/>
    </row>
    <row r="11" spans="1:12" ht="15.75" customHeight="1" x14ac:dyDescent="0.25">
      <c r="A11" s="49">
        <v>1</v>
      </c>
      <c r="B11" s="50" t="s">
        <v>90</v>
      </c>
      <c r="C11" s="163">
        <f>C12-1</f>
        <v>2020</v>
      </c>
      <c r="D11" s="164" t="str">
        <f>'A4 (Plant)'!J1&amp;", Col. [f], Lns. "&amp;'A4 (Plant)'!A25&amp;" and "&amp;'A4 (Plant)'!A58</f>
        <v>Worksheet A4, Col. [f], Lns. 14 and 43</v>
      </c>
      <c r="E11" s="50"/>
      <c r="F11" s="19">
        <f>'A4 (Plant)'!G25</f>
        <v>572495263</v>
      </c>
      <c r="G11" s="19">
        <f>'A4 (Plant)'!E25</f>
        <v>567807644.97000003</v>
      </c>
      <c r="H11" s="50"/>
      <c r="I11" s="50"/>
      <c r="J11" s="50"/>
      <c r="K11" s="19">
        <f>'A4 (Plant)'!G58</f>
        <v>245923473</v>
      </c>
      <c r="L11" s="19">
        <f>F11-K11</f>
        <v>326571790</v>
      </c>
    </row>
    <row r="12" spans="1:12" x14ac:dyDescent="0.25">
      <c r="A12" s="1">
        <f>A11+1</f>
        <v>2</v>
      </c>
      <c r="B12" t="s">
        <v>79</v>
      </c>
      <c r="C12" s="159">
        <f>YEAR('A1 (FF1 Inputs)'!$E$12)+1</f>
        <v>2021</v>
      </c>
      <c r="D12" s="37">
        <v>221000</v>
      </c>
      <c r="E12" s="43">
        <v>1</v>
      </c>
      <c r="F12" s="10">
        <f>F11+D12</f>
        <v>572716263</v>
      </c>
      <c r="G12" s="10">
        <f>G11+(D12*E12)</f>
        <v>568028644.97000003</v>
      </c>
      <c r="H12" s="162" t="s">
        <v>932</v>
      </c>
      <c r="I12" s="166">
        <f>VLOOKUP(H12,$B$48:$C$49,2,0)</f>
        <v>1.1416666666666667E-3</v>
      </c>
      <c r="J12" s="11">
        <f>AVERAGE(F11:F12)*I12</f>
        <v>653724.91275833338</v>
      </c>
      <c r="K12" s="11">
        <f>K11+J12</f>
        <v>246577197.91275832</v>
      </c>
      <c r="L12" s="11">
        <f>F12-K12</f>
        <v>326139065.08724165</v>
      </c>
    </row>
    <row r="13" spans="1:12" x14ac:dyDescent="0.25">
      <c r="A13" s="1">
        <f t="shared" ref="A13:A16" si="0">A12+1</f>
        <v>3</v>
      </c>
      <c r="B13" t="s">
        <v>80</v>
      </c>
      <c r="C13" s="159">
        <f>YEAR('A1 (FF1 Inputs)'!$E$12)+1</f>
        <v>2021</v>
      </c>
      <c r="D13" s="37">
        <v>936000</v>
      </c>
      <c r="E13" s="43">
        <v>1</v>
      </c>
      <c r="F13" s="10">
        <f>F12+D13</f>
        <v>573652263</v>
      </c>
      <c r="G13" s="10">
        <f t="shared" ref="G13:G35" si="1">G12+(D13*E13)</f>
        <v>568964644.97000003</v>
      </c>
      <c r="H13" s="162" t="s">
        <v>932</v>
      </c>
      <c r="I13" s="165">
        <f t="shared" ref="I13:I35" si="2">VLOOKUP(H13,$B$48:$C$49,2,0)</f>
        <v>1.1416666666666667E-3</v>
      </c>
      <c r="J13" s="10">
        <f t="shared" ref="J13:J35" si="3">AVERAGE(F12:F13)*I13</f>
        <v>654385.36692499998</v>
      </c>
      <c r="K13" s="10">
        <f t="shared" ref="K13:K35" si="4">K12+J13</f>
        <v>247231583.27968332</v>
      </c>
      <c r="L13" s="10">
        <f t="shared" ref="L13:L35" si="5">F13-K13</f>
        <v>326420679.72031665</v>
      </c>
    </row>
    <row r="14" spans="1:12" x14ac:dyDescent="0.25">
      <c r="A14" s="1">
        <f t="shared" si="0"/>
        <v>4</v>
      </c>
      <c r="B14" t="s">
        <v>81</v>
      </c>
      <c r="C14" s="159">
        <f>YEAR('A1 (FF1 Inputs)'!$E$12)+1</f>
        <v>2021</v>
      </c>
      <c r="D14" s="37">
        <v>946000</v>
      </c>
      <c r="E14" s="43">
        <v>1</v>
      </c>
      <c r="F14" s="10">
        <f t="shared" ref="F14:F35" si="6">F13+D14</f>
        <v>574598263</v>
      </c>
      <c r="G14" s="10">
        <f t="shared" si="1"/>
        <v>569910644.97000003</v>
      </c>
      <c r="H14" s="162" t="s">
        <v>932</v>
      </c>
      <c r="I14" s="165">
        <f t="shared" si="2"/>
        <v>1.1416666666666667E-3</v>
      </c>
      <c r="J14" s="10">
        <f t="shared" si="3"/>
        <v>655459.67525833333</v>
      </c>
      <c r="K14" s="10">
        <f t="shared" si="4"/>
        <v>247887042.95494166</v>
      </c>
      <c r="L14" s="10">
        <f t="shared" si="5"/>
        <v>326711220.04505837</v>
      </c>
    </row>
    <row r="15" spans="1:12" x14ac:dyDescent="0.25">
      <c r="A15" s="1">
        <f t="shared" si="0"/>
        <v>5</v>
      </c>
      <c r="B15" t="s">
        <v>82</v>
      </c>
      <c r="C15" s="159">
        <f>YEAR('A1 (FF1 Inputs)'!$E$12)+1</f>
        <v>2021</v>
      </c>
      <c r="D15" s="37">
        <v>1695000</v>
      </c>
      <c r="E15" s="43">
        <v>1</v>
      </c>
      <c r="F15" s="10">
        <f t="shared" si="6"/>
        <v>576293263</v>
      </c>
      <c r="G15" s="10">
        <f t="shared" si="1"/>
        <v>571605644.97000003</v>
      </c>
      <c r="H15" s="162" t="s">
        <v>932</v>
      </c>
      <c r="I15" s="165">
        <f t="shared" si="2"/>
        <v>1.1416666666666667E-3</v>
      </c>
      <c r="J15" s="10">
        <f t="shared" si="3"/>
        <v>656967.24609166663</v>
      </c>
      <c r="K15" s="10">
        <f t="shared" si="4"/>
        <v>248544010.20103332</v>
      </c>
      <c r="L15" s="10">
        <f t="shared" si="5"/>
        <v>327749252.79896665</v>
      </c>
    </row>
    <row r="16" spans="1:12" x14ac:dyDescent="0.25">
      <c r="A16" s="1">
        <f t="shared" si="0"/>
        <v>6</v>
      </c>
      <c r="B16" t="s">
        <v>83</v>
      </c>
      <c r="C16" s="159">
        <f>YEAR('A1 (FF1 Inputs)'!$E$12)+1</f>
        <v>2021</v>
      </c>
      <c r="D16" s="37">
        <v>4234000</v>
      </c>
      <c r="E16" s="43">
        <v>1</v>
      </c>
      <c r="F16" s="10">
        <f t="shared" si="6"/>
        <v>580527263</v>
      </c>
      <c r="G16" s="10">
        <f t="shared" si="1"/>
        <v>575839644.97000003</v>
      </c>
      <c r="H16" s="162" t="s">
        <v>932</v>
      </c>
      <c r="I16" s="165">
        <f t="shared" si="2"/>
        <v>1.1416666666666667E-3</v>
      </c>
      <c r="J16" s="10">
        <f t="shared" si="3"/>
        <v>660351.71692500007</v>
      </c>
      <c r="K16" s="10">
        <f t="shared" si="4"/>
        <v>249204361.91795832</v>
      </c>
      <c r="L16" s="10">
        <f t="shared" si="5"/>
        <v>331322901.08204168</v>
      </c>
    </row>
    <row r="17" spans="1:12" x14ac:dyDescent="0.25">
      <c r="A17" s="1">
        <f t="shared" ref="A17:A35" si="7">A16+1</f>
        <v>7</v>
      </c>
      <c r="B17" t="s">
        <v>84</v>
      </c>
      <c r="C17" s="159">
        <f>YEAR('A1 (FF1 Inputs)'!$E$12)+1</f>
        <v>2021</v>
      </c>
      <c r="D17" s="37">
        <v>870000</v>
      </c>
      <c r="E17" s="43">
        <v>1</v>
      </c>
      <c r="F17" s="10">
        <f t="shared" si="6"/>
        <v>581397263</v>
      </c>
      <c r="G17" s="10">
        <f t="shared" si="1"/>
        <v>576709644.97000003</v>
      </c>
      <c r="H17" s="162" t="s">
        <v>932</v>
      </c>
      <c r="I17" s="165">
        <f t="shared" si="2"/>
        <v>1.1416666666666667E-3</v>
      </c>
      <c r="J17" s="10">
        <f t="shared" si="3"/>
        <v>663265.2502583334</v>
      </c>
      <c r="K17" s="10">
        <f t="shared" si="4"/>
        <v>249867627.16821665</v>
      </c>
      <c r="L17" s="10">
        <f t="shared" si="5"/>
        <v>331529635.83178335</v>
      </c>
    </row>
    <row r="18" spans="1:12" x14ac:dyDescent="0.25">
      <c r="A18" s="1">
        <f t="shared" si="7"/>
        <v>8</v>
      </c>
      <c r="B18" t="s">
        <v>85</v>
      </c>
      <c r="C18" s="159">
        <f>YEAR('A1 (FF1 Inputs)'!$E$12)+1</f>
        <v>2021</v>
      </c>
      <c r="D18" s="37">
        <v>958000</v>
      </c>
      <c r="E18" s="43">
        <v>1</v>
      </c>
      <c r="F18" s="10">
        <f t="shared" si="6"/>
        <v>582355263</v>
      </c>
      <c r="G18" s="10">
        <f t="shared" si="1"/>
        <v>577667644.97000003</v>
      </c>
      <c r="H18" s="162" t="s">
        <v>932</v>
      </c>
      <c r="I18" s="165">
        <f t="shared" si="2"/>
        <v>1.1416666666666667E-3</v>
      </c>
      <c r="J18" s="10">
        <f t="shared" si="3"/>
        <v>664308.73359166668</v>
      </c>
      <c r="K18" s="10">
        <f t="shared" si="4"/>
        <v>250531935.90180832</v>
      </c>
      <c r="L18" s="10">
        <f t="shared" si="5"/>
        <v>331823327.09819168</v>
      </c>
    </row>
    <row r="19" spans="1:12" x14ac:dyDescent="0.25">
      <c r="A19" s="1">
        <f t="shared" si="7"/>
        <v>9</v>
      </c>
      <c r="B19" t="s">
        <v>86</v>
      </c>
      <c r="C19" s="159">
        <f>YEAR('A1 (FF1 Inputs)'!$E$12)+1</f>
        <v>2021</v>
      </c>
      <c r="D19" s="37">
        <v>874000</v>
      </c>
      <c r="E19" s="43">
        <v>1</v>
      </c>
      <c r="F19" s="10">
        <f t="shared" si="6"/>
        <v>583229263</v>
      </c>
      <c r="G19" s="10">
        <f t="shared" si="1"/>
        <v>578541644.97000003</v>
      </c>
      <c r="H19" s="162" t="s">
        <v>932</v>
      </c>
      <c r="I19" s="165">
        <f t="shared" si="2"/>
        <v>1.1416666666666667E-3</v>
      </c>
      <c r="J19" s="10">
        <f t="shared" si="3"/>
        <v>665354.5002583334</v>
      </c>
      <c r="K19" s="10">
        <f t="shared" si="4"/>
        <v>251197290.40206665</v>
      </c>
      <c r="L19" s="10">
        <f t="shared" si="5"/>
        <v>332031972.59793335</v>
      </c>
    </row>
    <row r="20" spans="1:12" x14ac:dyDescent="0.25">
      <c r="A20" s="1">
        <f t="shared" si="7"/>
        <v>10</v>
      </c>
      <c r="B20" t="s">
        <v>87</v>
      </c>
      <c r="C20" s="159">
        <f>YEAR('A1 (FF1 Inputs)'!$E$12)+1</f>
        <v>2021</v>
      </c>
      <c r="D20" s="37">
        <v>1532000</v>
      </c>
      <c r="E20" s="43">
        <v>1</v>
      </c>
      <c r="F20" s="10">
        <f t="shared" si="6"/>
        <v>584761263</v>
      </c>
      <c r="G20" s="10">
        <f t="shared" si="1"/>
        <v>580073644.97000003</v>
      </c>
      <c r="H20" s="162" t="s">
        <v>932</v>
      </c>
      <c r="I20" s="165">
        <f t="shared" si="2"/>
        <v>1.1416666666666667E-3</v>
      </c>
      <c r="J20" s="10">
        <f t="shared" si="3"/>
        <v>666727.92525833333</v>
      </c>
      <c r="K20" s="10">
        <f t="shared" si="4"/>
        <v>251864018.32732499</v>
      </c>
      <c r="L20" s="10">
        <f t="shared" si="5"/>
        <v>332897244.67267501</v>
      </c>
    </row>
    <row r="21" spans="1:12" x14ac:dyDescent="0.25">
      <c r="A21" s="1">
        <f t="shared" si="7"/>
        <v>11</v>
      </c>
      <c r="B21" t="s">
        <v>88</v>
      </c>
      <c r="C21" s="159">
        <f>YEAR('A1 (FF1 Inputs)'!$E$12)+1</f>
        <v>2021</v>
      </c>
      <c r="D21" s="37">
        <v>1138000</v>
      </c>
      <c r="E21" s="43">
        <v>1</v>
      </c>
      <c r="F21" s="10">
        <f t="shared" si="6"/>
        <v>585899263</v>
      </c>
      <c r="G21" s="10">
        <f t="shared" si="1"/>
        <v>581211644.97000003</v>
      </c>
      <c r="H21" s="162" t="s">
        <v>932</v>
      </c>
      <c r="I21" s="165">
        <f t="shared" si="2"/>
        <v>1.1416666666666667E-3</v>
      </c>
      <c r="J21" s="10">
        <f t="shared" si="3"/>
        <v>668252.05025833333</v>
      </c>
      <c r="K21" s="10">
        <f t="shared" si="4"/>
        <v>252532270.37758332</v>
      </c>
      <c r="L21" s="10">
        <f t="shared" si="5"/>
        <v>333366992.62241668</v>
      </c>
    </row>
    <row r="22" spans="1:12" x14ac:dyDescent="0.25">
      <c r="A22" s="1">
        <f t="shared" si="7"/>
        <v>12</v>
      </c>
      <c r="B22" t="s">
        <v>89</v>
      </c>
      <c r="C22" s="159">
        <f>YEAR('A1 (FF1 Inputs)'!$E$12)+1</f>
        <v>2021</v>
      </c>
      <c r="D22" s="37">
        <v>1279000</v>
      </c>
      <c r="E22" s="43">
        <v>1</v>
      </c>
      <c r="F22" s="10">
        <f t="shared" si="6"/>
        <v>587178263</v>
      </c>
      <c r="G22" s="10">
        <f t="shared" si="1"/>
        <v>582490644.97000003</v>
      </c>
      <c r="H22" s="162" t="s">
        <v>932</v>
      </c>
      <c r="I22" s="165">
        <f t="shared" si="2"/>
        <v>1.1416666666666667E-3</v>
      </c>
      <c r="J22" s="10">
        <f t="shared" si="3"/>
        <v>669631.75442500005</v>
      </c>
      <c r="K22" s="10">
        <f t="shared" si="4"/>
        <v>253201902.13200831</v>
      </c>
      <c r="L22" s="10">
        <f t="shared" si="5"/>
        <v>333976360.86799169</v>
      </c>
    </row>
    <row r="23" spans="1:12" x14ac:dyDescent="0.25">
      <c r="A23" s="1">
        <f t="shared" si="7"/>
        <v>13</v>
      </c>
      <c r="B23" t="s">
        <v>90</v>
      </c>
      <c r="C23" s="159">
        <f>YEAR('A1 (FF1 Inputs)'!$E$12)+1</f>
        <v>2021</v>
      </c>
      <c r="D23" s="37">
        <v>15987000</v>
      </c>
      <c r="E23" s="43">
        <v>1</v>
      </c>
      <c r="F23" s="10">
        <f t="shared" si="6"/>
        <v>603165263</v>
      </c>
      <c r="G23" s="10">
        <f t="shared" si="1"/>
        <v>598477644.97000003</v>
      </c>
      <c r="H23" s="162" t="s">
        <v>932</v>
      </c>
      <c r="I23" s="165">
        <f t="shared" si="2"/>
        <v>1.1416666666666667E-3</v>
      </c>
      <c r="J23" s="10">
        <f t="shared" si="3"/>
        <v>679487.76275833335</v>
      </c>
      <c r="K23" s="10">
        <f t="shared" si="4"/>
        <v>253881389.89476666</v>
      </c>
      <c r="L23" s="10">
        <f t="shared" si="5"/>
        <v>349283873.10523331</v>
      </c>
    </row>
    <row r="24" spans="1:12" x14ac:dyDescent="0.25">
      <c r="A24" s="1">
        <f t="shared" si="7"/>
        <v>14</v>
      </c>
      <c r="B24" t="s">
        <v>79</v>
      </c>
      <c r="C24" s="159">
        <f>YEAR('A1 (FF1 Inputs)'!$E$12)+2</f>
        <v>2022</v>
      </c>
      <c r="D24" s="37">
        <v>1346000</v>
      </c>
      <c r="E24" s="43">
        <v>1</v>
      </c>
      <c r="F24" s="10">
        <f t="shared" si="6"/>
        <v>604511263</v>
      </c>
      <c r="G24" s="10">
        <f t="shared" si="1"/>
        <v>599823644.97000003</v>
      </c>
      <c r="H24" s="162" t="s">
        <v>940</v>
      </c>
      <c r="I24" s="165">
        <f t="shared" si="2"/>
        <v>1.2187347531314094E-3</v>
      </c>
      <c r="J24" s="10">
        <f t="shared" si="3"/>
        <v>735918.6763886041</v>
      </c>
      <c r="K24" s="10">
        <f t="shared" si="4"/>
        <v>254617308.57115525</v>
      </c>
      <c r="L24" s="10">
        <f t="shared" si="5"/>
        <v>349893954.42884475</v>
      </c>
    </row>
    <row r="25" spans="1:12" x14ac:dyDescent="0.25">
      <c r="A25" s="1">
        <f t="shared" si="7"/>
        <v>15</v>
      </c>
      <c r="B25" t="s">
        <v>80</v>
      </c>
      <c r="C25" s="159">
        <f>YEAR('A1 (FF1 Inputs)'!$E$12)+2</f>
        <v>2022</v>
      </c>
      <c r="D25" s="37">
        <v>1238000</v>
      </c>
      <c r="E25" s="43">
        <v>1</v>
      </c>
      <c r="F25" s="10">
        <f t="shared" si="6"/>
        <v>605749263</v>
      </c>
      <c r="G25" s="10">
        <f t="shared" si="1"/>
        <v>601061644.97000003</v>
      </c>
      <c r="H25" s="162" t="s">
        <v>940</v>
      </c>
      <c r="I25" s="165">
        <f t="shared" si="2"/>
        <v>1.2187347531314094E-3</v>
      </c>
      <c r="J25" s="10">
        <f t="shared" si="3"/>
        <v>737493.2816896498</v>
      </c>
      <c r="K25" s="10">
        <f t="shared" si="4"/>
        <v>255354801.85284489</v>
      </c>
      <c r="L25" s="10">
        <f t="shared" si="5"/>
        <v>350394461.14715511</v>
      </c>
    </row>
    <row r="26" spans="1:12" x14ac:dyDescent="0.25">
      <c r="A26" s="1">
        <f t="shared" si="7"/>
        <v>16</v>
      </c>
      <c r="B26" t="s">
        <v>81</v>
      </c>
      <c r="C26" s="159">
        <f>YEAR('A1 (FF1 Inputs)'!$E$12)+2</f>
        <v>2022</v>
      </c>
      <c r="D26" s="37">
        <v>1362000</v>
      </c>
      <c r="E26" s="43">
        <v>1</v>
      </c>
      <c r="F26" s="10">
        <f t="shared" si="6"/>
        <v>607111263</v>
      </c>
      <c r="G26" s="10">
        <f t="shared" si="1"/>
        <v>602423644.97000003</v>
      </c>
      <c r="H26" s="162" t="s">
        <v>940</v>
      </c>
      <c r="I26" s="165">
        <f t="shared" si="2"/>
        <v>1.2187347531314094E-3</v>
      </c>
      <c r="J26" s="10">
        <f t="shared" si="3"/>
        <v>739077.63686872064</v>
      </c>
      <c r="K26" s="10">
        <f t="shared" si="4"/>
        <v>256093879.48971361</v>
      </c>
      <c r="L26" s="10">
        <f t="shared" si="5"/>
        <v>351017383.51028639</v>
      </c>
    </row>
    <row r="27" spans="1:12" x14ac:dyDescent="0.25">
      <c r="A27" s="1">
        <f t="shared" si="7"/>
        <v>17</v>
      </c>
      <c r="B27" t="s">
        <v>82</v>
      </c>
      <c r="C27" s="159">
        <f>YEAR('A1 (FF1 Inputs)'!$E$12)+2</f>
        <v>2022</v>
      </c>
      <c r="D27" s="37">
        <v>4589000</v>
      </c>
      <c r="E27" s="43">
        <v>1</v>
      </c>
      <c r="F27" s="10">
        <f t="shared" si="6"/>
        <v>611700263</v>
      </c>
      <c r="G27" s="10">
        <f t="shared" si="1"/>
        <v>607012644.97000003</v>
      </c>
      <c r="H27" s="162" t="s">
        <v>940</v>
      </c>
      <c r="I27" s="165">
        <f t="shared" si="2"/>
        <v>1.2187347531314094E-3</v>
      </c>
      <c r="J27" s="10">
        <f t="shared" si="3"/>
        <v>742703.98212666321</v>
      </c>
      <c r="K27" s="10">
        <f t="shared" si="4"/>
        <v>256836583.47184026</v>
      </c>
      <c r="L27" s="10">
        <f t="shared" si="5"/>
        <v>354863679.52815974</v>
      </c>
    </row>
    <row r="28" spans="1:12" x14ac:dyDescent="0.25">
      <c r="A28" s="1">
        <f t="shared" si="7"/>
        <v>18</v>
      </c>
      <c r="B28" t="s">
        <v>83</v>
      </c>
      <c r="C28" s="159">
        <f>YEAR('A1 (FF1 Inputs)'!$E$12)+2</f>
        <v>2022</v>
      </c>
      <c r="D28" s="37">
        <v>3528000</v>
      </c>
      <c r="E28" s="43">
        <v>1</v>
      </c>
      <c r="F28" s="10">
        <f t="shared" si="6"/>
        <v>615228263</v>
      </c>
      <c r="G28" s="10">
        <f t="shared" si="1"/>
        <v>610540644.97000003</v>
      </c>
      <c r="H28" s="162" t="s">
        <v>940</v>
      </c>
      <c r="I28" s="165">
        <f t="shared" si="2"/>
        <v>1.2187347531314094E-3</v>
      </c>
      <c r="J28" s="10">
        <f t="shared" si="3"/>
        <v>747650.21712224698</v>
      </c>
      <c r="K28" s="10">
        <f t="shared" si="4"/>
        <v>257584233.68896252</v>
      </c>
      <c r="L28" s="10">
        <f t="shared" si="5"/>
        <v>357644029.31103748</v>
      </c>
    </row>
    <row r="29" spans="1:12" x14ac:dyDescent="0.25">
      <c r="A29" s="1">
        <f t="shared" si="7"/>
        <v>19</v>
      </c>
      <c r="B29" t="s">
        <v>84</v>
      </c>
      <c r="C29" s="159">
        <f>YEAR('A1 (FF1 Inputs)'!$E$12)+2</f>
        <v>2022</v>
      </c>
      <c r="D29" s="37">
        <v>1531000</v>
      </c>
      <c r="E29" s="43">
        <v>1</v>
      </c>
      <c r="F29" s="10">
        <f t="shared" si="6"/>
        <v>616759263</v>
      </c>
      <c r="G29" s="10">
        <f t="shared" si="1"/>
        <v>612071644.97000003</v>
      </c>
      <c r="H29" s="162" t="s">
        <v>940</v>
      </c>
      <c r="I29" s="165">
        <f t="shared" si="2"/>
        <v>1.2187347531314094E-3</v>
      </c>
      <c r="J29" s="10">
        <f t="shared" si="3"/>
        <v>750733.00668029289</v>
      </c>
      <c r="K29" s="10">
        <f t="shared" si="4"/>
        <v>258334966.6956428</v>
      </c>
      <c r="L29" s="10">
        <f t="shared" si="5"/>
        <v>358424296.30435717</v>
      </c>
    </row>
    <row r="30" spans="1:12" x14ac:dyDescent="0.25">
      <c r="A30" s="1">
        <f t="shared" si="7"/>
        <v>20</v>
      </c>
      <c r="B30" t="s">
        <v>85</v>
      </c>
      <c r="C30" s="159">
        <f>YEAR('A1 (FF1 Inputs)'!$E$12)+2</f>
        <v>2022</v>
      </c>
      <c r="D30" s="37">
        <v>4936000</v>
      </c>
      <c r="E30" s="43">
        <v>1</v>
      </c>
      <c r="F30" s="10">
        <f t="shared" si="6"/>
        <v>621695263</v>
      </c>
      <c r="G30" s="10">
        <f t="shared" si="1"/>
        <v>617007644.97000003</v>
      </c>
      <c r="H30" s="162" t="s">
        <v>940</v>
      </c>
      <c r="I30" s="165">
        <f t="shared" si="2"/>
        <v>1.2187347531314094E-3</v>
      </c>
      <c r="J30" s="10">
        <f t="shared" si="3"/>
        <v>754673.78550454334</v>
      </c>
      <c r="K30" s="10">
        <f t="shared" si="4"/>
        <v>259089640.48114735</v>
      </c>
      <c r="L30" s="10">
        <f t="shared" si="5"/>
        <v>362605622.51885265</v>
      </c>
    </row>
    <row r="31" spans="1:12" x14ac:dyDescent="0.25">
      <c r="A31" s="1">
        <f t="shared" si="7"/>
        <v>21</v>
      </c>
      <c r="B31" t="s">
        <v>86</v>
      </c>
      <c r="C31" s="159">
        <f>YEAR('A1 (FF1 Inputs)'!$E$12)+2</f>
        <v>2022</v>
      </c>
      <c r="D31" s="37">
        <v>1531000</v>
      </c>
      <c r="E31" s="43">
        <v>1</v>
      </c>
      <c r="F31" s="10">
        <f t="shared" si="6"/>
        <v>623226263</v>
      </c>
      <c r="G31" s="10">
        <f t="shared" si="1"/>
        <v>618538644.97000003</v>
      </c>
      <c r="H31" s="162" t="s">
        <v>940</v>
      </c>
      <c r="I31" s="165">
        <f t="shared" si="2"/>
        <v>1.2187347531314094E-3</v>
      </c>
      <c r="J31" s="10">
        <f t="shared" si="3"/>
        <v>758614.56432879379</v>
      </c>
      <c r="K31" s="10">
        <f t="shared" si="4"/>
        <v>259848255.04547614</v>
      </c>
      <c r="L31" s="10">
        <f t="shared" si="5"/>
        <v>363378007.95452386</v>
      </c>
    </row>
    <row r="32" spans="1:12" x14ac:dyDescent="0.25">
      <c r="A32" s="1">
        <f t="shared" si="7"/>
        <v>22</v>
      </c>
      <c r="B32" t="s">
        <v>87</v>
      </c>
      <c r="C32" s="159">
        <f>YEAR('A1 (FF1 Inputs)'!$E$12)+2</f>
        <v>2022</v>
      </c>
      <c r="D32" s="37">
        <v>2652000</v>
      </c>
      <c r="E32" s="43">
        <v>1</v>
      </c>
      <c r="F32" s="10">
        <f t="shared" si="6"/>
        <v>625878263</v>
      </c>
      <c r="G32" s="10">
        <f t="shared" si="1"/>
        <v>621190644.97000003</v>
      </c>
      <c r="H32" s="162" t="s">
        <v>940</v>
      </c>
      <c r="I32" s="165">
        <f t="shared" si="2"/>
        <v>1.2187347531314094E-3</v>
      </c>
      <c r="J32" s="10">
        <f t="shared" si="3"/>
        <v>761163.54806496808</v>
      </c>
      <c r="K32" s="10">
        <f t="shared" si="4"/>
        <v>260609418.59354112</v>
      </c>
      <c r="L32" s="10">
        <f t="shared" si="5"/>
        <v>365268844.40645885</v>
      </c>
    </row>
    <row r="33" spans="1:12" x14ac:dyDescent="0.25">
      <c r="A33" s="1">
        <f t="shared" si="7"/>
        <v>23</v>
      </c>
      <c r="B33" t="s">
        <v>88</v>
      </c>
      <c r="C33" s="159">
        <f>YEAR('A1 (FF1 Inputs)'!$E$12)+2</f>
        <v>2022</v>
      </c>
      <c r="D33" s="37">
        <v>2421000</v>
      </c>
      <c r="E33" s="43">
        <v>1</v>
      </c>
      <c r="F33" s="10">
        <f t="shared" si="6"/>
        <v>628299263</v>
      </c>
      <c r="G33" s="10">
        <f t="shared" si="1"/>
        <v>623611644.97000003</v>
      </c>
      <c r="H33" s="162" t="s">
        <v>940</v>
      </c>
      <c r="I33" s="165">
        <f t="shared" si="2"/>
        <v>1.2187347531314094E-3</v>
      </c>
      <c r="J33" s="10">
        <f t="shared" si="3"/>
        <v>764254.86876628594</v>
      </c>
      <c r="K33" s="10">
        <f t="shared" si="4"/>
        <v>261373673.46230739</v>
      </c>
      <c r="L33" s="10">
        <f t="shared" si="5"/>
        <v>366925589.53769261</v>
      </c>
    </row>
    <row r="34" spans="1:12" x14ac:dyDescent="0.25">
      <c r="A34" s="1">
        <f t="shared" si="7"/>
        <v>24</v>
      </c>
      <c r="B34" t="s">
        <v>89</v>
      </c>
      <c r="C34" s="159">
        <f>YEAR('A1 (FF1 Inputs)'!$E$12)+2</f>
        <v>2022</v>
      </c>
      <c r="D34" s="37">
        <v>1538000</v>
      </c>
      <c r="E34" s="43">
        <v>1</v>
      </c>
      <c r="F34" s="10">
        <f t="shared" si="6"/>
        <v>629837263</v>
      </c>
      <c r="G34" s="10">
        <f t="shared" si="1"/>
        <v>625149644.97000003</v>
      </c>
      <c r="H34" s="162" t="s">
        <v>940</v>
      </c>
      <c r="I34" s="165">
        <f t="shared" si="2"/>
        <v>1.2187347531314094E-3</v>
      </c>
      <c r="J34" s="10">
        <f t="shared" si="3"/>
        <v>766667.35421010957</v>
      </c>
      <c r="K34" s="10">
        <f t="shared" si="4"/>
        <v>262140340.8165175</v>
      </c>
      <c r="L34" s="10">
        <f t="shared" si="5"/>
        <v>367696922.18348253</v>
      </c>
    </row>
    <row r="35" spans="1:12" x14ac:dyDescent="0.25">
      <c r="A35" s="14">
        <f t="shared" si="7"/>
        <v>25</v>
      </c>
      <c r="B35" s="5" t="s">
        <v>90</v>
      </c>
      <c r="C35" s="160">
        <f>YEAR('A1 (FF1 Inputs)'!$E$12)+2</f>
        <v>2022</v>
      </c>
      <c r="D35" s="39">
        <v>35199000</v>
      </c>
      <c r="E35" s="161">
        <v>1</v>
      </c>
      <c r="F35" s="64">
        <f t="shared" si="6"/>
        <v>665036263</v>
      </c>
      <c r="G35" s="64">
        <f t="shared" si="1"/>
        <v>660348644.97000003</v>
      </c>
      <c r="H35" s="162" t="s">
        <v>940</v>
      </c>
      <c r="I35" s="167">
        <f t="shared" si="2"/>
        <v>1.2187347531314094E-3</v>
      </c>
      <c r="J35" s="64">
        <f t="shared" si="3"/>
        <v>789053.68352300383</v>
      </c>
      <c r="K35" s="64">
        <f t="shared" si="4"/>
        <v>262929394.5000405</v>
      </c>
      <c r="L35" s="64">
        <f t="shared" si="5"/>
        <v>402106868.49995947</v>
      </c>
    </row>
    <row r="36" spans="1:12" ht="7.5" customHeight="1" x14ac:dyDescent="0.25">
      <c r="A36" s="36"/>
      <c r="B36" s="9"/>
      <c r="C36" s="9"/>
      <c r="D36" s="9"/>
      <c r="E36" s="9"/>
      <c r="F36" s="9"/>
      <c r="G36" s="9"/>
      <c r="H36" s="9"/>
      <c r="I36" s="9"/>
      <c r="J36" s="9"/>
      <c r="K36" s="9"/>
      <c r="L36" s="9"/>
    </row>
    <row r="37" spans="1:12" ht="16.5" thickBot="1" x14ac:dyDescent="0.3">
      <c r="A37" s="134">
        <f>A35+1</f>
        <v>26</v>
      </c>
      <c r="B37" s="135" t="str">
        <f>$C$24&amp;" Total Depreciation Expense (Sum Lns. ("&amp;A24&amp;" through "&amp;A35&amp;"))"</f>
        <v>2022 Total Depreciation Expense (Sum Lns. (14 through 25))</v>
      </c>
      <c r="C37" s="135"/>
      <c r="D37" s="135"/>
      <c r="E37" s="135"/>
      <c r="F37" s="135"/>
      <c r="G37" s="135"/>
      <c r="H37" s="135"/>
      <c r="I37" s="135"/>
      <c r="J37" s="133">
        <f>SUM(J24:J35)</f>
        <v>9048004.6052738819</v>
      </c>
      <c r="K37" s="135"/>
      <c r="L37" s="135"/>
    </row>
    <row r="39" spans="1:12" ht="16.5" thickBot="1" x14ac:dyDescent="0.3">
      <c r="A39" s="134">
        <f>A37+1</f>
        <v>27</v>
      </c>
      <c r="B39" s="135" t="str">
        <f>$C$24&amp;" 13-Month Average Balances (Avg Lns. ("&amp;A23&amp;" through "&amp;A35&amp;"))"</f>
        <v>2022 13-Month Average Balances (Avg Lns. (13 through 25))</v>
      </c>
      <c r="C39" s="135"/>
      <c r="D39" s="135"/>
      <c r="E39" s="135"/>
      <c r="F39" s="133">
        <f>AVERAGE(F23:F35)</f>
        <v>619861339.92307687</v>
      </c>
      <c r="G39" s="133">
        <f>AVERAGE(G23:G35)</f>
        <v>615173721.89307714</v>
      </c>
      <c r="H39" s="135"/>
      <c r="I39" s="135"/>
      <c r="J39" s="135"/>
      <c r="K39" s="133">
        <f>AVERAGE(K23:K35)</f>
        <v>258361068.19722736</v>
      </c>
      <c r="L39" s="133">
        <f>AVERAGE(L23:L35)</f>
        <v>361500271.72584957</v>
      </c>
    </row>
    <row r="40" spans="1:12" ht="5.25" customHeight="1" x14ac:dyDescent="0.25">
      <c r="A40" s="14"/>
      <c r="B40" s="5"/>
      <c r="C40" s="5"/>
      <c r="D40" s="5"/>
      <c r="E40" s="5"/>
      <c r="F40" s="5"/>
      <c r="G40" s="5"/>
      <c r="H40" s="5"/>
      <c r="I40" s="5"/>
      <c r="J40" s="5"/>
      <c r="K40" s="5"/>
      <c r="L40" s="5"/>
    </row>
    <row r="41" spans="1:12" ht="5.25" customHeight="1" x14ac:dyDescent="0.25"/>
    <row r="42" spans="1:12" x14ac:dyDescent="0.25">
      <c r="A42" s="22" t="str">
        <f>note</f>
        <v>Notes and Sources:</v>
      </c>
    </row>
    <row r="43" spans="1:12" ht="36" customHeight="1" x14ac:dyDescent="0.25">
      <c r="A43" s="85">
        <v>1</v>
      </c>
      <c r="B43" s="274" t="str">
        <f>"Unless otherwise stated, source of shaded cells is company input/records. El Paso must input the percentage of projected additions it believes will be recoverable through network transmission rates in Column "&amp;E8&amp;"."</f>
        <v>Unless otherwise stated, source of shaded cells is company input/records. El Paso must input the percentage of projected additions it believes will be recoverable through network transmission rates in Column [d].</v>
      </c>
      <c r="C43" s="274"/>
      <c r="D43" s="274"/>
      <c r="E43" s="274"/>
      <c r="F43" s="274"/>
      <c r="G43" s="274"/>
      <c r="H43" s="274"/>
      <c r="I43" s="274"/>
      <c r="J43" s="274"/>
      <c r="K43" s="274"/>
      <c r="L43" s="274"/>
    </row>
    <row r="44" spans="1:12" ht="33.75" customHeight="1" x14ac:dyDescent="0.25">
      <c r="A44" s="85">
        <v>2</v>
      </c>
      <c r="B44" s="274" t="str">
        <f>"Balances in Column "&amp;F8&amp;" calculated using the end of year gross plant balances shown on Line "&amp;A11&amp;" as well as the projected plant addditions for all subsequent months show in Column "&amp;D8&amp;". Balances in Column "&amp;G8&amp;" reflect the same computation factoring in the network transmission percentages shown in Column "&amp;E8&amp;"."</f>
        <v>Balances in Column [e] calculated using the end of year gross plant balances shown on Line 1 as well as the projected plant addditions for all subsequent months show in Column [c]. Balances in Column [f] reflect the same computation factoring in the network transmission percentages shown in Column [d].</v>
      </c>
      <c r="C44" s="274"/>
      <c r="D44" s="274"/>
      <c r="E44" s="274"/>
      <c r="F44" s="274"/>
      <c r="G44" s="274"/>
      <c r="H44" s="274"/>
      <c r="I44" s="274"/>
      <c r="J44" s="274"/>
      <c r="K44" s="274"/>
      <c r="L44" s="274"/>
    </row>
    <row r="45" spans="1:12" ht="51.75" customHeight="1" x14ac:dyDescent="0.25">
      <c r="A45" s="85">
        <v>3</v>
      </c>
      <c r="B45" s="274" t="str">
        <f>"In periods in which the Company will use its current FERC approved depreciation rates to depreciate projected transmission plant additions, enter an 'A' in Column "&amp;H8&amp;". In periods in which El Paso will use new depreciation rates submitted to FERC for approval, enter an 'N' in Column "&amp;H8&amp;" These depreciation rates used to develop projected depreciation expense are shown below:"</f>
        <v>In periods in which the Company will use its current FERC approved depreciation rates to depreciate projected transmission plant additions, enter an 'A' in Column [g]. In periods in which El Paso will use new depreciation rates submitted to FERC for approval, enter an 'N' in Column [g] These depreciation rates used to develop projected depreciation expense are shown below:</v>
      </c>
      <c r="C45" s="274"/>
      <c r="D45" s="274"/>
      <c r="E45" s="274"/>
      <c r="F45" s="274"/>
      <c r="G45" s="274"/>
      <c r="H45" s="274"/>
      <c r="I45" s="274"/>
      <c r="J45" s="274"/>
      <c r="K45" s="274"/>
      <c r="L45" s="274"/>
    </row>
    <row r="46" spans="1:12" ht="7.5" customHeight="1" x14ac:dyDescent="0.25"/>
    <row r="47" spans="1:12" x14ac:dyDescent="0.25">
      <c r="B47" s="140" t="s">
        <v>938</v>
      </c>
      <c r="C47" s="140" t="s">
        <v>939</v>
      </c>
      <c r="D47" s="291" t="s">
        <v>566</v>
      </c>
      <c r="E47" s="291"/>
      <c r="F47" s="291"/>
      <c r="G47" s="291"/>
      <c r="H47" s="12"/>
      <c r="I47" s="12"/>
      <c r="J47" s="12"/>
      <c r="K47" s="12"/>
      <c r="L47" s="12"/>
    </row>
    <row r="48" spans="1:12" x14ac:dyDescent="0.25">
      <c r="B48" s="16" t="s">
        <v>932</v>
      </c>
      <c r="C48" s="168">
        <f>IF('Actual Attachment H'!D39=0,0,ROUND('Actual Attachment H'!D103/'Actual Attachment H'!D39,4)/12)</f>
        <v>1.1416666666666667E-3</v>
      </c>
      <c r="D48" s="169" t="str">
        <f>'Actual Attachment H'!I1&amp;", Column "&amp;'Actual Attachment H'!D9&amp;", Lns. ("&amp;'Actual Attachment H'!A103&amp;" / "&amp;'Actual Attachment H'!A39&amp;") / 12.0"</f>
        <v>Attachment H (Actuals), Column [c], Lns. (59 / 16) / 12.0</v>
      </c>
    </row>
    <row r="49" spans="1:12" x14ac:dyDescent="0.25">
      <c r="B49" s="16" t="s">
        <v>940</v>
      </c>
      <c r="C49" s="174">
        <f>+'P14 (Composite Depr Rate)'!F23</f>
        <v>1.2187347531314094E-3</v>
      </c>
      <c r="D49" s="169" t="s">
        <v>941</v>
      </c>
    </row>
    <row r="50" spans="1:12" ht="7.5" customHeight="1" x14ac:dyDescent="0.25"/>
    <row r="51" spans="1:12" ht="36.75" customHeight="1" x14ac:dyDescent="0.25">
      <c r="B51" s="274" t="str">
        <f>"The monthly depreciation expense values shown in Column "&amp;J8&amp;" are derived by multiplying the corresponding monthly depreciation rate shown in Column "&amp;I8&amp;" by the average of the gross plant balances for the current and prior months contained in Column "&amp;F8&amp;"."</f>
        <v>The monthly depreciation expense values shown in Column [i] are derived by multiplying the corresponding monthly depreciation rate shown in Column [h] by the average of the gross plant balances for the current and prior months contained in Column [e].</v>
      </c>
      <c r="C51" s="274"/>
      <c r="D51" s="274"/>
      <c r="E51" s="274"/>
      <c r="F51" s="274"/>
      <c r="G51" s="274"/>
      <c r="H51" s="274"/>
      <c r="I51" s="274"/>
      <c r="J51" s="274"/>
      <c r="K51" s="274"/>
      <c r="L51" s="274"/>
    </row>
    <row r="52" spans="1:12" ht="33.75" customHeight="1" x14ac:dyDescent="0.25">
      <c r="A52" s="85">
        <v>4</v>
      </c>
      <c r="B52" s="274" t="str">
        <f>"Balances in Column "&amp;K8&amp;" calculated using the end of year accumulated depreciation balances shown on Line "&amp;A11&amp;" as well as the projected depreciation expense for all subsequent months shown in Column "&amp;J8&amp;"."</f>
        <v>Balances in Column [j] calculated using the end of year accumulated depreciation balances shown on Line 1 as well as the projected depreciation expense for all subsequent months shown in Column [i].</v>
      </c>
      <c r="C52" s="274"/>
      <c r="D52" s="274"/>
      <c r="E52" s="274"/>
      <c r="F52" s="274"/>
      <c r="G52" s="274"/>
      <c r="H52" s="274"/>
      <c r="I52" s="274"/>
      <c r="J52" s="274"/>
      <c r="K52" s="274"/>
      <c r="L52" s="274"/>
    </row>
    <row r="53" spans="1:12" ht="5.25" customHeight="1" thickBot="1" x14ac:dyDescent="0.3">
      <c r="A53" s="24"/>
      <c r="B53" s="4"/>
      <c r="C53" s="4"/>
      <c r="D53" s="4"/>
      <c r="E53" s="4"/>
      <c r="F53" s="4"/>
      <c r="G53" s="4"/>
      <c r="H53" s="4"/>
      <c r="I53" s="4"/>
      <c r="J53" s="4"/>
      <c r="K53" s="4"/>
      <c r="L53" s="4"/>
    </row>
    <row r="54" spans="1:12" ht="5.25" customHeight="1" thickTop="1" x14ac:dyDescent="0.25"/>
  </sheetData>
  <mergeCells count="6">
    <mergeCell ref="B51:L51"/>
    <mergeCell ref="B52:L52"/>
    <mergeCell ref="B43:L43"/>
    <mergeCell ref="B44:L44"/>
    <mergeCell ref="B45:L45"/>
    <mergeCell ref="D47:G47"/>
  </mergeCells>
  <phoneticPr fontId="7" type="noConversion"/>
  <pageMargins left="0.7" right="0.7" top="0.75" bottom="0.75" header="0.3" footer="0.3"/>
  <pageSetup scale="78" fitToHeight="0" orientation="landscape" horizontalDpi="1200" verticalDpi="1200" r:id="rId1"/>
  <headerFooter>
    <oddFooter>&amp;L&amp;6{W0327924.2 }</oddFooter>
  </headerFooter>
  <rowBreaks count="1" manualBreakCount="1">
    <brk id="39"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97"/>
  <sheetViews>
    <sheetView workbookViewId="0"/>
  </sheetViews>
  <sheetFormatPr defaultRowHeight="15.75" x14ac:dyDescent="0.25"/>
  <cols>
    <col min="1" max="1" width="5" style="1" customWidth="1"/>
    <col min="2" max="2" width="58.25" customWidth="1"/>
    <col min="3" max="3" width="48.25" bestFit="1" customWidth="1"/>
    <col min="4" max="7" width="15.625" customWidth="1"/>
    <col min="8" max="8" width="14" bestFit="1" customWidth="1"/>
  </cols>
  <sheetData>
    <row r="1" spans="1:5" x14ac:dyDescent="0.25">
      <c r="A1" s="6" t="str">
        <f>epe</f>
        <v>El Paso Electric Company</v>
      </c>
      <c r="E1" s="8" t="s">
        <v>304</v>
      </c>
    </row>
    <row r="2" spans="1:5" x14ac:dyDescent="0.25">
      <c r="A2" t="str">
        <f>frta</f>
        <v>Formula Rate Template (Actuals)</v>
      </c>
    </row>
    <row r="3" spans="1:5" x14ac:dyDescent="0.25">
      <c r="A3" t="s">
        <v>64</v>
      </c>
    </row>
    <row r="4" spans="1:5" x14ac:dyDescent="0.25">
      <c r="A4" t="str">
        <f>"12 Months Ended December 31, "&amp;YEAR('A1 (FF1 Inputs)'!$E$12)</f>
        <v>12 Months Ended December 31, 2020</v>
      </c>
    </row>
    <row r="5" spans="1:5" ht="5.25" customHeight="1" thickBot="1" x14ac:dyDescent="0.3">
      <c r="A5" s="4"/>
      <c r="B5" s="4"/>
      <c r="C5" s="4"/>
      <c r="D5" s="4"/>
      <c r="E5" s="4"/>
    </row>
    <row r="6" spans="1:5" ht="5.25" customHeight="1" thickTop="1" x14ac:dyDescent="0.25">
      <c r="A6"/>
    </row>
    <row r="7" spans="1:5" s="3" customFormat="1" ht="15.75" customHeight="1" x14ac:dyDescent="0.25">
      <c r="A7" s="267" t="str">
        <f>ln</f>
        <v>Line No.</v>
      </c>
      <c r="B7" s="266" t="str">
        <f>des</f>
        <v>Description</v>
      </c>
      <c r="C7" s="266" t="str">
        <f>ref</f>
        <v>Reference</v>
      </c>
      <c r="D7" s="266" t="s">
        <v>175</v>
      </c>
      <c r="E7" s="266" t="s">
        <v>176</v>
      </c>
    </row>
    <row r="8" spans="1:5" s="3" customFormat="1" x14ac:dyDescent="0.25">
      <c r="A8" s="267"/>
      <c r="B8" s="266"/>
      <c r="C8" s="266"/>
      <c r="D8" s="266"/>
      <c r="E8" s="266"/>
    </row>
    <row r="9" spans="1:5" s="1" customFormat="1" x14ac:dyDescent="0.25">
      <c r="A9" s="267"/>
      <c r="B9" s="1" t="s">
        <v>7</v>
      </c>
      <c r="C9" s="1" t="s">
        <v>8</v>
      </c>
      <c r="D9" s="1" t="s">
        <v>9</v>
      </c>
      <c r="E9" s="1" t="s">
        <v>10</v>
      </c>
    </row>
    <row r="10" spans="1:5" ht="5.25" customHeight="1" x14ac:dyDescent="0.25">
      <c r="A10" s="5"/>
      <c r="B10" s="5"/>
      <c r="C10" s="5"/>
      <c r="D10" s="5"/>
      <c r="E10" s="5"/>
    </row>
    <row r="11" spans="1:5" ht="5.25" customHeight="1" x14ac:dyDescent="0.25">
      <c r="A11"/>
    </row>
    <row r="12" spans="1:5" x14ac:dyDescent="0.25">
      <c r="A12" s="1">
        <f>1</f>
        <v>1</v>
      </c>
      <c r="B12" t="s">
        <v>916</v>
      </c>
      <c r="C12" t="s">
        <v>793</v>
      </c>
      <c r="E12" s="129">
        <v>43831</v>
      </c>
    </row>
    <row r="13" spans="1:5" x14ac:dyDescent="0.25">
      <c r="A13" s="1">
        <f>A12+1</f>
        <v>2</v>
      </c>
      <c r="B13" t="s">
        <v>917</v>
      </c>
      <c r="C13" t="s">
        <v>793</v>
      </c>
      <c r="E13" s="129">
        <v>44562</v>
      </c>
    </row>
    <row r="15" spans="1:5" x14ac:dyDescent="0.25">
      <c r="B15" s="12" t="s">
        <v>168</v>
      </c>
    </row>
    <row r="16" spans="1:5" x14ac:dyDescent="0.25">
      <c r="A16" s="1">
        <f>A13+1</f>
        <v>3</v>
      </c>
      <c r="B16" t="s">
        <v>39</v>
      </c>
      <c r="C16" t="s">
        <v>219</v>
      </c>
      <c r="D16" s="37">
        <v>10941642</v>
      </c>
      <c r="E16" s="37">
        <v>18997423</v>
      </c>
    </row>
    <row r="17" spans="1:5" x14ac:dyDescent="0.25">
      <c r="A17" s="1">
        <f>A16+1</f>
        <v>4</v>
      </c>
      <c r="B17" t="s">
        <v>69</v>
      </c>
      <c r="C17" t="s">
        <v>177</v>
      </c>
      <c r="D17" s="37">
        <v>13108942</v>
      </c>
      <c r="E17" s="37">
        <v>12709792</v>
      </c>
    </row>
    <row r="18" spans="1:5" x14ac:dyDescent="0.25">
      <c r="A18" s="1">
        <f>A17+1</f>
        <v>5</v>
      </c>
      <c r="B18" t="s">
        <v>70</v>
      </c>
      <c r="C18" t="s">
        <v>178</v>
      </c>
      <c r="D18" s="37">
        <v>15211751</v>
      </c>
      <c r="E18" s="37">
        <v>14261495</v>
      </c>
    </row>
    <row r="19" spans="1:5" x14ac:dyDescent="0.25">
      <c r="A19" s="1">
        <f t="shared" ref="A19:A24" si="0">A18+1</f>
        <v>6</v>
      </c>
      <c r="B19" t="s">
        <v>65</v>
      </c>
      <c r="C19" t="s">
        <v>179</v>
      </c>
      <c r="D19" s="37">
        <v>0</v>
      </c>
      <c r="E19" s="37">
        <v>0</v>
      </c>
    </row>
    <row r="20" spans="1:5" x14ac:dyDescent="0.25">
      <c r="A20" s="1">
        <f t="shared" si="0"/>
        <v>7</v>
      </c>
      <c r="B20" t="s">
        <v>66</v>
      </c>
      <c r="C20" t="s">
        <v>180</v>
      </c>
      <c r="D20" s="37">
        <v>0</v>
      </c>
      <c r="E20" s="37">
        <v>0</v>
      </c>
    </row>
    <row r="21" spans="1:5" x14ac:dyDescent="0.25">
      <c r="A21" s="1">
        <f t="shared" si="0"/>
        <v>8</v>
      </c>
      <c r="B21" t="s">
        <v>67</v>
      </c>
      <c r="C21" t="s">
        <v>181</v>
      </c>
      <c r="D21" s="37">
        <v>-48547164</v>
      </c>
      <c r="E21" s="37">
        <v>-38805402</v>
      </c>
    </row>
    <row r="22" spans="1:5" x14ac:dyDescent="0.25">
      <c r="A22" s="1">
        <f t="shared" si="0"/>
        <v>9</v>
      </c>
      <c r="B22" t="s">
        <v>68</v>
      </c>
      <c r="C22" t="s">
        <v>182</v>
      </c>
      <c r="D22" s="37">
        <v>1236463123</v>
      </c>
      <c r="E22" s="37">
        <v>1397187639</v>
      </c>
    </row>
    <row r="23" spans="1:5" x14ac:dyDescent="0.25">
      <c r="A23" s="1">
        <f t="shared" si="0"/>
        <v>10</v>
      </c>
      <c r="B23" t="s">
        <v>71</v>
      </c>
      <c r="C23" t="s">
        <v>183</v>
      </c>
      <c r="D23" s="37">
        <v>1288018879</v>
      </c>
      <c r="E23" s="37">
        <v>1288017678</v>
      </c>
    </row>
    <row r="24" spans="1:5" x14ac:dyDescent="0.25">
      <c r="A24" s="1">
        <f t="shared" si="0"/>
        <v>11</v>
      </c>
      <c r="B24" t="s">
        <v>72</v>
      </c>
      <c r="C24" t="s">
        <v>184</v>
      </c>
      <c r="D24" s="37">
        <v>0</v>
      </c>
      <c r="E24" s="37">
        <v>0</v>
      </c>
    </row>
    <row r="25" spans="1:5" x14ac:dyDescent="0.25">
      <c r="D25" s="10"/>
      <c r="E25" s="10"/>
    </row>
    <row r="26" spans="1:5" x14ac:dyDescent="0.25">
      <c r="B26" s="12" t="s">
        <v>588</v>
      </c>
      <c r="D26" s="10"/>
      <c r="E26" s="10"/>
    </row>
    <row r="27" spans="1:5" x14ac:dyDescent="0.25">
      <c r="A27" s="1">
        <f>A24+1</f>
        <v>12</v>
      </c>
      <c r="B27" t="s">
        <v>589</v>
      </c>
      <c r="C27" t="s">
        <v>594</v>
      </c>
      <c r="E27" s="37">
        <v>72293195</v>
      </c>
    </row>
    <row r="28" spans="1:5" x14ac:dyDescent="0.25">
      <c r="A28" s="1">
        <f>A27+1</f>
        <v>13</v>
      </c>
      <c r="B28" t="s">
        <v>590</v>
      </c>
      <c r="C28" t="s">
        <v>595</v>
      </c>
      <c r="E28" s="37">
        <v>1053566</v>
      </c>
    </row>
    <row r="29" spans="1:5" x14ac:dyDescent="0.25">
      <c r="A29" s="1">
        <f>A28+1</f>
        <v>14</v>
      </c>
      <c r="B29" t="s">
        <v>727</v>
      </c>
      <c r="C29" t="s">
        <v>596</v>
      </c>
      <c r="E29" s="37">
        <v>950256</v>
      </c>
    </row>
    <row r="30" spans="1:5" x14ac:dyDescent="0.25">
      <c r="A30" s="1">
        <f t="shared" ref="A30:A32" si="1">A29+1</f>
        <v>15</v>
      </c>
      <c r="B30" t="s">
        <v>592</v>
      </c>
      <c r="C30" t="s">
        <v>597</v>
      </c>
      <c r="E30" s="37">
        <v>140496</v>
      </c>
    </row>
    <row r="31" spans="1:5" x14ac:dyDescent="0.25">
      <c r="A31" s="1">
        <f t="shared" si="1"/>
        <v>16</v>
      </c>
      <c r="B31" t="s">
        <v>591</v>
      </c>
      <c r="C31" t="s">
        <v>598</v>
      </c>
      <c r="E31" s="37">
        <v>0</v>
      </c>
    </row>
    <row r="32" spans="1:5" x14ac:dyDescent="0.25">
      <c r="A32" s="1">
        <f t="shared" si="1"/>
        <v>17</v>
      </c>
      <c r="B32" t="s">
        <v>593</v>
      </c>
      <c r="C32" t="s">
        <v>599</v>
      </c>
      <c r="E32" s="37">
        <v>0</v>
      </c>
    </row>
    <row r="33" spans="1:8" x14ac:dyDescent="0.25">
      <c r="D33" s="10"/>
      <c r="E33" s="10"/>
    </row>
    <row r="34" spans="1:8" x14ac:dyDescent="0.25">
      <c r="A34" s="1">
        <f>A32+1</f>
        <v>18</v>
      </c>
      <c r="B34" t="s">
        <v>1017</v>
      </c>
      <c r="C34" t="s">
        <v>1035</v>
      </c>
      <c r="D34" s="37">
        <v>69422088</v>
      </c>
      <c r="E34" s="37">
        <v>78561792</v>
      </c>
    </row>
    <row r="35" spans="1:8" x14ac:dyDescent="0.25">
      <c r="E35" s="10"/>
    </row>
    <row r="36" spans="1:8" x14ac:dyDescent="0.25">
      <c r="B36" s="12" t="s">
        <v>169</v>
      </c>
      <c r="E36" s="10"/>
    </row>
    <row r="37" spans="1:8" x14ac:dyDescent="0.25">
      <c r="A37" s="1">
        <f>A34+1</f>
        <v>19</v>
      </c>
      <c r="B37" t="s">
        <v>170</v>
      </c>
      <c r="C37" t="s">
        <v>192</v>
      </c>
      <c r="D37" s="37">
        <v>168740228</v>
      </c>
      <c r="E37" s="37">
        <v>176677429</v>
      </c>
    </row>
    <row r="38" spans="1:8" x14ac:dyDescent="0.25">
      <c r="A38" s="1">
        <f>A37+1</f>
        <v>20</v>
      </c>
      <c r="B38" t="s">
        <v>188</v>
      </c>
      <c r="C38" t="s">
        <v>193</v>
      </c>
      <c r="D38" s="37">
        <v>-248487</v>
      </c>
      <c r="E38" s="37">
        <v>-248487</v>
      </c>
    </row>
    <row r="39" spans="1:8" x14ac:dyDescent="0.25">
      <c r="A39" s="1">
        <f t="shared" ref="A39:A48" si="2">A38+1</f>
        <v>21</v>
      </c>
      <c r="B39" t="s">
        <v>189</v>
      </c>
      <c r="C39" t="s">
        <v>194</v>
      </c>
      <c r="D39" s="37">
        <v>-38768493</v>
      </c>
      <c r="E39" s="37">
        <v>-39726967</v>
      </c>
    </row>
    <row r="40" spans="1:8" x14ac:dyDescent="0.25">
      <c r="A40" s="1">
        <f t="shared" si="2"/>
        <v>22</v>
      </c>
      <c r="B40" t="s">
        <v>190</v>
      </c>
      <c r="C40" t="s">
        <v>195</v>
      </c>
      <c r="D40" s="37">
        <v>0</v>
      </c>
      <c r="E40" s="37">
        <v>0</v>
      </c>
    </row>
    <row r="41" spans="1:8" x14ac:dyDescent="0.25">
      <c r="A41" s="1">
        <f t="shared" si="2"/>
        <v>23</v>
      </c>
      <c r="B41" t="s">
        <v>191</v>
      </c>
      <c r="C41" t="s">
        <v>196</v>
      </c>
      <c r="D41" s="37">
        <v>255881</v>
      </c>
      <c r="E41" s="37">
        <v>255881</v>
      </c>
    </row>
    <row r="42" spans="1:8" x14ac:dyDescent="0.25">
      <c r="A42" s="1">
        <f t="shared" si="2"/>
        <v>24</v>
      </c>
      <c r="B42" t="s">
        <v>171</v>
      </c>
      <c r="C42" t="s">
        <v>197</v>
      </c>
      <c r="D42" s="37">
        <v>2995304359</v>
      </c>
      <c r="E42" s="37">
        <v>3058516837</v>
      </c>
      <c r="G42" s="10"/>
      <c r="H42" s="10"/>
    </row>
    <row r="43" spans="1:8" x14ac:dyDescent="0.25">
      <c r="A43" s="1">
        <f t="shared" si="2"/>
        <v>25</v>
      </c>
      <c r="B43" t="s">
        <v>185</v>
      </c>
      <c r="C43" t="s">
        <v>198</v>
      </c>
      <c r="D43" s="37">
        <v>0</v>
      </c>
      <c r="E43" s="37">
        <v>0</v>
      </c>
    </row>
    <row r="44" spans="1:8" x14ac:dyDescent="0.25">
      <c r="A44" s="1">
        <f t="shared" si="2"/>
        <v>26</v>
      </c>
      <c r="B44" t="s">
        <v>172</v>
      </c>
      <c r="C44" t="s">
        <v>199</v>
      </c>
      <c r="D44" s="37">
        <v>550330158</v>
      </c>
      <c r="E44" s="37">
        <v>572495263</v>
      </c>
    </row>
    <row r="45" spans="1:8" x14ac:dyDescent="0.25">
      <c r="A45" s="1">
        <f t="shared" si="2"/>
        <v>27</v>
      </c>
      <c r="B45" t="s">
        <v>186</v>
      </c>
      <c r="C45" t="s">
        <v>200</v>
      </c>
      <c r="D45" s="37">
        <v>0</v>
      </c>
      <c r="E45" s="37">
        <v>0</v>
      </c>
    </row>
    <row r="46" spans="1:8" x14ac:dyDescent="0.25">
      <c r="A46" s="1">
        <f t="shared" si="2"/>
        <v>28</v>
      </c>
      <c r="B46" t="s">
        <v>173</v>
      </c>
      <c r="C46" t="s">
        <v>201</v>
      </c>
      <c r="D46" s="37">
        <v>1355690685</v>
      </c>
      <c r="E46" s="37">
        <v>1434365456</v>
      </c>
    </row>
    <row r="47" spans="1:8" x14ac:dyDescent="0.25">
      <c r="A47" s="1">
        <f t="shared" si="2"/>
        <v>29</v>
      </c>
      <c r="B47" t="s">
        <v>187</v>
      </c>
      <c r="C47" t="s">
        <v>202</v>
      </c>
      <c r="D47" s="37">
        <v>87400</v>
      </c>
      <c r="E47" s="37">
        <v>87400</v>
      </c>
    </row>
    <row r="48" spans="1:8" x14ac:dyDescent="0.25">
      <c r="A48" s="1">
        <f t="shared" si="2"/>
        <v>30</v>
      </c>
      <c r="B48" t="s">
        <v>174</v>
      </c>
      <c r="C48" t="s">
        <v>203</v>
      </c>
      <c r="D48" s="37">
        <v>260284966</v>
      </c>
      <c r="E48" s="37">
        <v>274621928</v>
      </c>
      <c r="F48" s="10"/>
    </row>
    <row r="49" spans="1:7" x14ac:dyDescent="0.25">
      <c r="D49" s="10"/>
      <c r="E49" s="10"/>
    </row>
    <row r="50" spans="1:7" x14ac:dyDescent="0.25">
      <c r="A50" s="1">
        <f>A48+1</f>
        <v>31</v>
      </c>
      <c r="B50" t="s">
        <v>220</v>
      </c>
      <c r="C50" t="s">
        <v>221</v>
      </c>
      <c r="D50" s="10"/>
      <c r="E50" s="37">
        <v>0</v>
      </c>
    </row>
    <row r="51" spans="1:7" x14ac:dyDescent="0.25">
      <c r="A51" s="1">
        <f>A50+1</f>
        <v>32</v>
      </c>
      <c r="B51" t="s">
        <v>222</v>
      </c>
      <c r="C51" t="s">
        <v>223</v>
      </c>
      <c r="D51" s="10"/>
      <c r="E51" s="37">
        <v>214062220</v>
      </c>
    </row>
    <row r="52" spans="1:7" x14ac:dyDescent="0.25">
      <c r="D52" s="10"/>
      <c r="E52" s="10"/>
    </row>
    <row r="53" spans="1:7" ht="47.25" x14ac:dyDescent="0.25">
      <c r="B53" s="12" t="s">
        <v>204</v>
      </c>
      <c r="F53" s="235" t="s">
        <v>1137</v>
      </c>
      <c r="G53" s="236" t="s">
        <v>1120</v>
      </c>
    </row>
    <row r="54" spans="1:7" x14ac:dyDescent="0.25">
      <c r="A54" s="1">
        <f>A51+1</f>
        <v>33</v>
      </c>
      <c r="B54" t="s">
        <v>205</v>
      </c>
      <c r="C54" t="s">
        <v>212</v>
      </c>
      <c r="E54" s="37">
        <v>260071846</v>
      </c>
      <c r="F54" s="37"/>
      <c r="G54" s="219">
        <f>+E54+F54</f>
        <v>260071846</v>
      </c>
    </row>
    <row r="55" spans="1:7" x14ac:dyDescent="0.25">
      <c r="A55" s="1">
        <f>A54+1</f>
        <v>34</v>
      </c>
      <c r="B55" t="s">
        <v>206</v>
      </c>
      <c r="C55" t="s">
        <v>213</v>
      </c>
      <c r="E55" s="37">
        <v>1298723387</v>
      </c>
      <c r="F55" s="37"/>
      <c r="G55" s="219">
        <f t="shared" ref="G55:G60" si="3">+E55+F55</f>
        <v>1298723387</v>
      </c>
    </row>
    <row r="56" spans="1:7" x14ac:dyDescent="0.25">
      <c r="A56" s="1">
        <f t="shared" ref="A56:A59" si="4">A55+1</f>
        <v>35</v>
      </c>
      <c r="B56" t="s">
        <v>207</v>
      </c>
      <c r="C56" t="s">
        <v>214</v>
      </c>
      <c r="E56" s="37">
        <v>0</v>
      </c>
      <c r="F56" s="37"/>
      <c r="G56" s="219">
        <f t="shared" si="3"/>
        <v>0</v>
      </c>
    </row>
    <row r="57" spans="1:7" x14ac:dyDescent="0.25">
      <c r="A57" s="1">
        <f t="shared" si="4"/>
        <v>36</v>
      </c>
      <c r="B57" t="s">
        <v>208</v>
      </c>
      <c r="C57" t="s">
        <v>215</v>
      </c>
      <c r="E57" s="37">
        <v>76853131</v>
      </c>
      <c r="F57" s="37"/>
      <c r="G57" s="219">
        <f t="shared" si="3"/>
        <v>76853131</v>
      </c>
    </row>
    <row r="58" spans="1:7" x14ac:dyDescent="0.25">
      <c r="A58" s="1">
        <f t="shared" si="4"/>
        <v>37</v>
      </c>
      <c r="B58" t="s">
        <v>209</v>
      </c>
      <c r="C58" t="s">
        <v>216</v>
      </c>
      <c r="E58" s="37">
        <v>245923473</v>
      </c>
      <c r="F58" s="37"/>
      <c r="G58" s="219">
        <f t="shared" si="3"/>
        <v>245923473</v>
      </c>
    </row>
    <row r="59" spans="1:7" x14ac:dyDescent="0.25">
      <c r="A59" s="1">
        <f t="shared" si="4"/>
        <v>38</v>
      </c>
      <c r="B59" t="s">
        <v>210</v>
      </c>
      <c r="C59" t="s">
        <v>217</v>
      </c>
      <c r="E59" s="37">
        <v>411767806</v>
      </c>
      <c r="F59" s="37"/>
      <c r="G59" s="219">
        <f t="shared" si="3"/>
        <v>411767806</v>
      </c>
    </row>
    <row r="60" spans="1:7" x14ac:dyDescent="0.25">
      <c r="A60" s="1">
        <f>A59+1</f>
        <v>39</v>
      </c>
      <c r="B60" t="s">
        <v>211</v>
      </c>
      <c r="C60" t="s">
        <v>218</v>
      </c>
      <c r="E60" s="37">
        <v>96689504</v>
      </c>
      <c r="F60" s="37"/>
      <c r="G60" s="219">
        <f t="shared" si="3"/>
        <v>96689504</v>
      </c>
    </row>
    <row r="61" spans="1:7" x14ac:dyDescent="0.25">
      <c r="E61" s="10"/>
    </row>
    <row r="62" spans="1:7" x14ac:dyDescent="0.25">
      <c r="B62" s="12" t="s">
        <v>224</v>
      </c>
      <c r="D62" s="10"/>
      <c r="E62" s="10"/>
    </row>
    <row r="63" spans="1:7" x14ac:dyDescent="0.25">
      <c r="A63" s="1">
        <f>A60+1</f>
        <v>40</v>
      </c>
      <c r="B63" t="s">
        <v>226</v>
      </c>
      <c r="C63" t="s">
        <v>227</v>
      </c>
      <c r="D63" s="37">
        <v>2668375</v>
      </c>
      <c r="E63" s="37">
        <v>3257734</v>
      </c>
    </row>
    <row r="64" spans="1:7" x14ac:dyDescent="0.25">
      <c r="A64" s="1">
        <f>A63+1</f>
        <v>41</v>
      </c>
      <c r="B64" t="s">
        <v>225</v>
      </c>
      <c r="C64" t="s">
        <v>228</v>
      </c>
      <c r="D64" s="37">
        <v>1145</v>
      </c>
      <c r="E64" s="37">
        <v>-4548</v>
      </c>
    </row>
    <row r="65" spans="1:5" x14ac:dyDescent="0.25">
      <c r="D65" s="10"/>
      <c r="E65" s="10"/>
    </row>
    <row r="66" spans="1:5" x14ac:dyDescent="0.25">
      <c r="B66" s="12" t="s">
        <v>235</v>
      </c>
      <c r="D66" s="10"/>
      <c r="E66" s="10"/>
    </row>
    <row r="67" spans="1:5" x14ac:dyDescent="0.25">
      <c r="A67" s="1">
        <f>A64+1</f>
        <v>42</v>
      </c>
      <c r="B67" t="s">
        <v>229</v>
      </c>
      <c r="C67" t="s">
        <v>230</v>
      </c>
      <c r="D67" s="37">
        <v>176423602</v>
      </c>
      <c r="E67" s="37">
        <v>176922175</v>
      </c>
    </row>
    <row r="68" spans="1:5" x14ac:dyDescent="0.25">
      <c r="A68" s="1">
        <f>A67+1</f>
        <v>43</v>
      </c>
      <c r="B68" t="s">
        <v>236</v>
      </c>
      <c r="C68" t="s">
        <v>237</v>
      </c>
      <c r="D68" s="37">
        <v>20959358</v>
      </c>
      <c r="E68" s="37">
        <v>19339718</v>
      </c>
    </row>
    <row r="69" spans="1:5" x14ac:dyDescent="0.25">
      <c r="A69" s="1">
        <f>A68+1</f>
        <v>44</v>
      </c>
      <c r="B69" t="s">
        <v>231</v>
      </c>
      <c r="C69" t="s">
        <v>233</v>
      </c>
      <c r="D69" s="37">
        <v>489812397</v>
      </c>
      <c r="E69" s="37">
        <v>499156703</v>
      </c>
    </row>
    <row r="70" spans="1:5" x14ac:dyDescent="0.25">
      <c r="A70" s="1">
        <f>A69+1</f>
        <v>45</v>
      </c>
      <c r="B70" t="s">
        <v>232</v>
      </c>
      <c r="C70" t="s">
        <v>234</v>
      </c>
      <c r="D70" s="37">
        <v>32347600</v>
      </c>
      <c r="E70" s="37">
        <v>42801748</v>
      </c>
    </row>
    <row r="71" spans="1:5" x14ac:dyDescent="0.25">
      <c r="D71" s="10"/>
      <c r="E71" s="10"/>
    </row>
    <row r="72" spans="1:5" x14ac:dyDescent="0.25">
      <c r="B72" s="12" t="s">
        <v>312</v>
      </c>
      <c r="D72" s="10"/>
      <c r="E72" s="10"/>
    </row>
    <row r="73" spans="1:5" x14ac:dyDescent="0.25">
      <c r="A73" s="1">
        <f>A70+1</f>
        <v>46</v>
      </c>
      <c r="B73" t="s">
        <v>314</v>
      </c>
      <c r="C73" t="s">
        <v>315</v>
      </c>
      <c r="D73" s="10"/>
      <c r="E73" s="37">
        <v>3106012</v>
      </c>
    </row>
    <row r="74" spans="1:5" x14ac:dyDescent="0.25">
      <c r="A74" s="1">
        <f>A73+1</f>
        <v>47</v>
      </c>
      <c r="B74" t="s">
        <v>313</v>
      </c>
      <c r="C74" t="s">
        <v>316</v>
      </c>
      <c r="D74" s="10"/>
      <c r="E74" s="37">
        <v>24579633</v>
      </c>
    </row>
    <row r="75" spans="1:5" x14ac:dyDescent="0.25">
      <c r="E75" s="10"/>
    </row>
    <row r="76" spans="1:5" x14ac:dyDescent="0.25">
      <c r="B76" s="12" t="s">
        <v>238</v>
      </c>
      <c r="E76" s="10"/>
    </row>
    <row r="77" spans="1:5" x14ac:dyDescent="0.25">
      <c r="A77" s="1">
        <f>A74+1</f>
        <v>48</v>
      </c>
      <c r="B77" t="s">
        <v>239</v>
      </c>
      <c r="C77" t="s">
        <v>247</v>
      </c>
      <c r="D77" s="10"/>
      <c r="E77" s="37">
        <v>128147</v>
      </c>
    </row>
    <row r="78" spans="1:5" x14ac:dyDescent="0.25">
      <c r="A78" s="1">
        <f>A77+1</f>
        <v>49</v>
      </c>
      <c r="B78" t="s">
        <v>240</v>
      </c>
      <c r="C78" t="s">
        <v>248</v>
      </c>
      <c r="D78" s="10"/>
      <c r="E78" s="37">
        <v>932103</v>
      </c>
    </row>
    <row r="79" spans="1:5" x14ac:dyDescent="0.25">
      <c r="A79" s="1">
        <f t="shared" ref="A79:A99" si="5">A78+1</f>
        <v>50</v>
      </c>
      <c r="B79" t="s">
        <v>241</v>
      </c>
      <c r="C79" t="s">
        <v>249</v>
      </c>
      <c r="D79" s="10"/>
      <c r="E79" s="37">
        <v>1092216</v>
      </c>
    </row>
    <row r="80" spans="1:5" x14ac:dyDescent="0.25">
      <c r="A80" s="1">
        <f t="shared" si="5"/>
        <v>51</v>
      </c>
      <c r="B80" t="s">
        <v>242</v>
      </c>
      <c r="C80" t="s">
        <v>250</v>
      </c>
      <c r="D80" s="10"/>
      <c r="E80" s="37">
        <v>652858</v>
      </c>
    </row>
    <row r="81" spans="1:7" x14ac:dyDescent="0.25">
      <c r="A81" s="1">
        <f t="shared" si="5"/>
        <v>52</v>
      </c>
      <c r="B81" t="s">
        <v>243</v>
      </c>
      <c r="C81" t="s">
        <v>251</v>
      </c>
      <c r="D81" s="10"/>
      <c r="E81" s="37">
        <v>678638</v>
      </c>
    </row>
    <row r="82" spans="1:7" x14ac:dyDescent="0.25">
      <c r="A82" s="1">
        <f t="shared" si="5"/>
        <v>53</v>
      </c>
      <c r="B82" t="s">
        <v>244</v>
      </c>
      <c r="C82" t="s">
        <v>252</v>
      </c>
      <c r="D82" s="10"/>
      <c r="E82" s="37">
        <v>0</v>
      </c>
    </row>
    <row r="83" spans="1:7" x14ac:dyDescent="0.25">
      <c r="A83" s="1">
        <f t="shared" si="5"/>
        <v>54</v>
      </c>
      <c r="B83" t="s">
        <v>245</v>
      </c>
      <c r="C83" t="s">
        <v>253</v>
      </c>
      <c r="D83" s="10"/>
      <c r="E83" s="37">
        <v>0</v>
      </c>
    </row>
    <row r="84" spans="1:7" x14ac:dyDescent="0.25">
      <c r="A84" s="1">
        <f t="shared" si="5"/>
        <v>55</v>
      </c>
      <c r="B84" t="s">
        <v>246</v>
      </c>
      <c r="C84" t="s">
        <v>254</v>
      </c>
      <c r="D84" s="10"/>
      <c r="E84" s="37">
        <v>0</v>
      </c>
    </row>
    <row r="85" spans="1:7" x14ac:dyDescent="0.25">
      <c r="A85" s="1">
        <f t="shared" si="5"/>
        <v>56</v>
      </c>
      <c r="B85" t="s">
        <v>261</v>
      </c>
      <c r="C85" t="s">
        <v>260</v>
      </c>
      <c r="D85" s="10"/>
      <c r="E85" s="37">
        <v>6728666</v>
      </c>
    </row>
    <row r="86" spans="1:7" x14ac:dyDescent="0.25">
      <c r="A86" s="1">
        <f t="shared" si="5"/>
        <v>57</v>
      </c>
      <c r="B86" t="s">
        <v>259</v>
      </c>
      <c r="C86" t="s">
        <v>258</v>
      </c>
      <c r="D86" s="10"/>
      <c r="E86" s="37">
        <v>23716836</v>
      </c>
    </row>
    <row r="87" spans="1:7" x14ac:dyDescent="0.25">
      <c r="A87" s="1">
        <f t="shared" si="5"/>
        <v>58</v>
      </c>
      <c r="B87" t="s">
        <v>263</v>
      </c>
      <c r="C87" t="s">
        <v>264</v>
      </c>
      <c r="D87" s="10"/>
      <c r="E87" s="37">
        <v>4852276</v>
      </c>
    </row>
    <row r="88" spans="1:7" ht="18.75" x14ac:dyDescent="0.25">
      <c r="A88" s="1">
        <f t="shared" si="5"/>
        <v>59</v>
      </c>
      <c r="B88" t="s">
        <v>1053</v>
      </c>
      <c r="C88" t="s">
        <v>629</v>
      </c>
      <c r="D88" s="10"/>
      <c r="E88" s="37">
        <f>13218765+988356+888139</f>
        <v>15095260</v>
      </c>
    </row>
    <row r="89" spans="1:7" x14ac:dyDescent="0.25">
      <c r="A89" s="1">
        <f t="shared" si="5"/>
        <v>60</v>
      </c>
      <c r="B89" t="s">
        <v>255</v>
      </c>
      <c r="C89" t="s">
        <v>256</v>
      </c>
      <c r="D89" s="10"/>
      <c r="E89" s="37">
        <v>1693142</v>
      </c>
    </row>
    <row r="90" spans="1:7" x14ac:dyDescent="0.25">
      <c r="A90" s="1">
        <f t="shared" si="5"/>
        <v>61</v>
      </c>
      <c r="B90" s="210" t="s">
        <v>1152</v>
      </c>
      <c r="C90" t="s">
        <v>262</v>
      </c>
      <c r="D90" s="10"/>
      <c r="E90" s="37">
        <f>108440624+988356+888139</f>
        <v>110317119</v>
      </c>
    </row>
    <row r="91" spans="1:7" x14ac:dyDescent="0.25">
      <c r="A91" s="1">
        <f t="shared" si="5"/>
        <v>62</v>
      </c>
      <c r="B91" t="s">
        <v>1018</v>
      </c>
      <c r="C91" t="s">
        <v>353</v>
      </c>
      <c r="D91" s="10"/>
      <c r="E91" s="37">
        <v>529779</v>
      </c>
    </row>
    <row r="92" spans="1:7" x14ac:dyDescent="0.25">
      <c r="D92" s="10"/>
      <c r="E92" s="10"/>
    </row>
    <row r="93" spans="1:7" ht="47.25" x14ac:dyDescent="0.25">
      <c r="B93" s="12" t="s">
        <v>265</v>
      </c>
      <c r="D93" s="10"/>
      <c r="E93" s="10"/>
      <c r="F93" s="235" t="s">
        <v>1137</v>
      </c>
      <c r="G93" s="236" t="s">
        <v>1120</v>
      </c>
    </row>
    <row r="94" spans="1:7" x14ac:dyDescent="0.25">
      <c r="A94" s="1">
        <f>A91+1</f>
        <v>63</v>
      </c>
      <c r="B94" t="s">
        <v>266</v>
      </c>
      <c r="C94" t="s">
        <v>272</v>
      </c>
      <c r="D94" s="10"/>
      <c r="E94" s="37">
        <v>9139703</v>
      </c>
      <c r="F94" s="37"/>
      <c r="G94" s="219">
        <f>+E94+F94</f>
        <v>9139703</v>
      </c>
    </row>
    <row r="95" spans="1:7" x14ac:dyDescent="0.25">
      <c r="A95" s="1">
        <f t="shared" si="5"/>
        <v>64</v>
      </c>
      <c r="B95" t="s">
        <v>267</v>
      </c>
      <c r="C95" t="s">
        <v>273</v>
      </c>
      <c r="D95" s="10"/>
      <c r="E95" s="37">
        <v>0</v>
      </c>
      <c r="F95" s="37"/>
      <c r="G95" s="219">
        <f t="shared" ref="G95:G99" si="6">+E95+F95</f>
        <v>0</v>
      </c>
    </row>
    <row r="96" spans="1:7" x14ac:dyDescent="0.25">
      <c r="A96" s="1">
        <f t="shared" si="5"/>
        <v>65</v>
      </c>
      <c r="B96" t="s">
        <v>268</v>
      </c>
      <c r="C96" t="s">
        <v>274</v>
      </c>
      <c r="D96" s="10"/>
      <c r="E96" s="37">
        <v>7714721</v>
      </c>
      <c r="F96" s="37"/>
      <c r="G96" s="219">
        <f t="shared" si="6"/>
        <v>7714721</v>
      </c>
    </row>
    <row r="97" spans="1:7" x14ac:dyDescent="0.25">
      <c r="A97" s="1">
        <f t="shared" si="5"/>
        <v>66</v>
      </c>
      <c r="B97" t="s">
        <v>269</v>
      </c>
      <c r="C97" t="s">
        <v>275</v>
      </c>
      <c r="D97" s="10"/>
      <c r="E97" s="37">
        <v>0</v>
      </c>
      <c r="F97" s="37"/>
      <c r="G97" s="219">
        <f t="shared" si="6"/>
        <v>0</v>
      </c>
    </row>
    <row r="98" spans="1:7" x14ac:dyDescent="0.25">
      <c r="A98" s="1">
        <f t="shared" si="5"/>
        <v>67</v>
      </c>
      <c r="B98" t="s">
        <v>270</v>
      </c>
      <c r="C98" t="s">
        <v>276</v>
      </c>
      <c r="D98" s="10"/>
      <c r="E98" s="37">
        <v>11993473</v>
      </c>
      <c r="F98" s="37"/>
      <c r="G98" s="219">
        <f t="shared" si="6"/>
        <v>11993473</v>
      </c>
    </row>
    <row r="99" spans="1:7" x14ac:dyDescent="0.25">
      <c r="A99" s="1">
        <f t="shared" si="5"/>
        <v>68</v>
      </c>
      <c r="B99" t="s">
        <v>271</v>
      </c>
      <c r="C99" t="s">
        <v>277</v>
      </c>
      <c r="D99" s="10"/>
      <c r="E99" s="37">
        <v>6635</v>
      </c>
      <c r="F99" s="37"/>
      <c r="G99" s="219">
        <f t="shared" si="6"/>
        <v>6635</v>
      </c>
    </row>
    <row r="100" spans="1:7" x14ac:dyDescent="0.25">
      <c r="D100" s="10"/>
      <c r="E100" s="10"/>
    </row>
    <row r="101" spans="1:7" x14ac:dyDescent="0.25">
      <c r="B101" s="12" t="s">
        <v>339</v>
      </c>
      <c r="D101" s="10"/>
      <c r="E101" s="10"/>
      <c r="G101" s="10"/>
    </row>
    <row r="102" spans="1:7" x14ac:dyDescent="0.25">
      <c r="A102" s="1">
        <f>A99+1</f>
        <v>69</v>
      </c>
      <c r="B102" t="s">
        <v>337</v>
      </c>
      <c r="C102" t="s">
        <v>343</v>
      </c>
      <c r="D102" s="10"/>
      <c r="E102" s="37">
        <v>17097034</v>
      </c>
    </row>
    <row r="103" spans="1:7" x14ac:dyDescent="0.25">
      <c r="A103" s="1">
        <f>A102+1</f>
        <v>70</v>
      </c>
      <c r="B103" t="s">
        <v>209</v>
      </c>
      <c r="C103" t="s">
        <v>344</v>
      </c>
      <c r="D103" s="10"/>
      <c r="E103" s="37">
        <v>10826624</v>
      </c>
    </row>
    <row r="104" spans="1:7" x14ac:dyDescent="0.25">
      <c r="A104" s="1">
        <f t="shared" ref="A104:A107" si="7">A103+1</f>
        <v>71</v>
      </c>
      <c r="B104" t="s">
        <v>210</v>
      </c>
      <c r="C104" t="s">
        <v>345</v>
      </c>
      <c r="D104" s="10"/>
      <c r="E104" s="37">
        <v>14677499</v>
      </c>
    </row>
    <row r="105" spans="1:7" x14ac:dyDescent="0.25">
      <c r="A105" s="1">
        <f t="shared" si="7"/>
        <v>72</v>
      </c>
      <c r="B105" t="s">
        <v>340</v>
      </c>
      <c r="C105" t="s">
        <v>346</v>
      </c>
      <c r="D105" s="10"/>
      <c r="E105" s="37">
        <v>8782285</v>
      </c>
    </row>
    <row r="106" spans="1:7" x14ac:dyDescent="0.25">
      <c r="A106" s="1">
        <f t="shared" si="7"/>
        <v>73</v>
      </c>
      <c r="B106" t="s">
        <v>341</v>
      </c>
      <c r="C106" t="s">
        <v>347</v>
      </c>
      <c r="D106" s="10"/>
      <c r="E106" s="37">
        <v>0</v>
      </c>
    </row>
    <row r="107" spans="1:7" x14ac:dyDescent="0.25">
      <c r="A107" s="1">
        <f t="shared" si="7"/>
        <v>74</v>
      </c>
      <c r="B107" t="s">
        <v>342</v>
      </c>
      <c r="C107" t="s">
        <v>348</v>
      </c>
      <c r="D107" s="10"/>
      <c r="E107" s="37">
        <v>0</v>
      </c>
    </row>
    <row r="108" spans="1:7" x14ac:dyDescent="0.25">
      <c r="D108" s="10"/>
      <c r="E108" s="10"/>
    </row>
    <row r="109" spans="1:7" x14ac:dyDescent="0.25">
      <c r="B109" s="12" t="s">
        <v>73</v>
      </c>
    </row>
    <row r="110" spans="1:7" x14ac:dyDescent="0.25">
      <c r="A110" s="1">
        <f>A107+1</f>
        <v>75</v>
      </c>
      <c r="B110" t="s">
        <v>79</v>
      </c>
      <c r="C110" t="s">
        <v>96</v>
      </c>
      <c r="E110" s="42">
        <v>1072</v>
      </c>
    </row>
    <row r="111" spans="1:7" x14ac:dyDescent="0.25">
      <c r="A111" s="1">
        <f>A110+1</f>
        <v>76</v>
      </c>
      <c r="B111" t="s">
        <v>80</v>
      </c>
      <c r="C111" t="s">
        <v>97</v>
      </c>
      <c r="E111" s="42">
        <v>1126</v>
      </c>
    </row>
    <row r="112" spans="1:7" x14ac:dyDescent="0.25">
      <c r="A112" s="1">
        <f t="shared" ref="A112:A121" si="8">A111+1</f>
        <v>77</v>
      </c>
      <c r="B112" t="s">
        <v>81</v>
      </c>
      <c r="C112" t="s">
        <v>98</v>
      </c>
      <c r="E112" s="42">
        <v>1010</v>
      </c>
    </row>
    <row r="113" spans="1:5" x14ac:dyDescent="0.25">
      <c r="A113" s="1">
        <f t="shared" si="8"/>
        <v>78</v>
      </c>
      <c r="B113" t="s">
        <v>82</v>
      </c>
      <c r="C113" t="s">
        <v>99</v>
      </c>
      <c r="E113" s="42">
        <v>1377</v>
      </c>
    </row>
    <row r="114" spans="1:5" x14ac:dyDescent="0.25">
      <c r="A114" s="1">
        <f t="shared" si="8"/>
        <v>79</v>
      </c>
      <c r="B114" t="s">
        <v>83</v>
      </c>
      <c r="C114" t="s">
        <v>100</v>
      </c>
      <c r="E114" s="42">
        <v>1639</v>
      </c>
    </row>
    <row r="115" spans="1:5" x14ac:dyDescent="0.25">
      <c r="A115" s="1">
        <f t="shared" si="8"/>
        <v>80</v>
      </c>
      <c r="B115" t="s">
        <v>84</v>
      </c>
      <c r="C115" t="s">
        <v>101</v>
      </c>
      <c r="E115" s="42">
        <v>1919</v>
      </c>
    </row>
    <row r="116" spans="1:5" x14ac:dyDescent="0.25">
      <c r="A116" s="1">
        <f t="shared" si="8"/>
        <v>81</v>
      </c>
      <c r="B116" t="s">
        <v>85</v>
      </c>
      <c r="C116" t="s">
        <v>102</v>
      </c>
      <c r="E116" s="42">
        <v>2159</v>
      </c>
    </row>
    <row r="117" spans="1:5" x14ac:dyDescent="0.25">
      <c r="A117" s="1">
        <f t="shared" si="8"/>
        <v>82</v>
      </c>
      <c r="B117" t="s">
        <v>86</v>
      </c>
      <c r="C117" t="s">
        <v>103</v>
      </c>
      <c r="E117" s="42">
        <v>2087</v>
      </c>
    </row>
    <row r="118" spans="1:5" x14ac:dyDescent="0.25">
      <c r="A118" s="1">
        <f t="shared" si="8"/>
        <v>83</v>
      </c>
      <c r="B118" t="s">
        <v>87</v>
      </c>
      <c r="C118" t="s">
        <v>104</v>
      </c>
      <c r="E118" s="42">
        <v>1860</v>
      </c>
    </row>
    <row r="119" spans="1:5" x14ac:dyDescent="0.25">
      <c r="A119" s="1">
        <f t="shared" si="8"/>
        <v>84</v>
      </c>
      <c r="B119" t="s">
        <v>88</v>
      </c>
      <c r="C119" t="s">
        <v>105</v>
      </c>
      <c r="E119" s="42">
        <v>1442</v>
      </c>
    </row>
    <row r="120" spans="1:5" x14ac:dyDescent="0.25">
      <c r="A120" s="1">
        <f t="shared" si="8"/>
        <v>85</v>
      </c>
      <c r="B120" t="s">
        <v>89</v>
      </c>
      <c r="C120" t="s">
        <v>106</v>
      </c>
      <c r="E120" s="42">
        <v>1038</v>
      </c>
    </row>
    <row r="121" spans="1:5" x14ac:dyDescent="0.25">
      <c r="A121" s="1">
        <f t="shared" si="8"/>
        <v>86</v>
      </c>
      <c r="B121" t="s">
        <v>90</v>
      </c>
      <c r="C121" t="s">
        <v>107</v>
      </c>
      <c r="E121" s="42">
        <v>1091</v>
      </c>
    </row>
    <row r="123" spans="1:5" x14ac:dyDescent="0.25">
      <c r="B123" s="12" t="s">
        <v>74</v>
      </c>
    </row>
    <row r="124" spans="1:5" x14ac:dyDescent="0.25">
      <c r="A124" s="1">
        <f>A121+1</f>
        <v>87</v>
      </c>
      <c r="B124" t="s">
        <v>79</v>
      </c>
      <c r="C124" t="s">
        <v>108</v>
      </c>
      <c r="E124" s="42">
        <v>6</v>
      </c>
    </row>
    <row r="125" spans="1:5" x14ac:dyDescent="0.25">
      <c r="A125" s="1">
        <f>A124+1</f>
        <v>88</v>
      </c>
      <c r="B125" t="s">
        <v>80</v>
      </c>
      <c r="C125" t="s">
        <v>109</v>
      </c>
      <c r="E125" s="42">
        <v>7</v>
      </c>
    </row>
    <row r="126" spans="1:5" x14ac:dyDescent="0.25">
      <c r="A126" s="1">
        <f t="shared" ref="A126:A135" si="9">A125+1</f>
        <v>89</v>
      </c>
      <c r="B126" t="s">
        <v>81</v>
      </c>
      <c r="C126" t="s">
        <v>110</v>
      </c>
      <c r="E126" s="42">
        <v>5</v>
      </c>
    </row>
    <row r="127" spans="1:5" x14ac:dyDescent="0.25">
      <c r="A127" s="1">
        <f t="shared" si="9"/>
        <v>90</v>
      </c>
      <c r="B127" t="s">
        <v>82</v>
      </c>
      <c r="C127" t="s">
        <v>111</v>
      </c>
      <c r="E127" s="42">
        <v>9</v>
      </c>
    </row>
    <row r="128" spans="1:5" x14ac:dyDescent="0.25">
      <c r="A128" s="1">
        <f t="shared" si="9"/>
        <v>91</v>
      </c>
      <c r="B128" t="s">
        <v>83</v>
      </c>
      <c r="C128" t="s">
        <v>112</v>
      </c>
      <c r="E128" s="42">
        <v>11</v>
      </c>
    </row>
    <row r="129" spans="1:5" x14ac:dyDescent="0.25">
      <c r="A129" s="1">
        <f t="shared" si="9"/>
        <v>92</v>
      </c>
      <c r="B129" t="s">
        <v>84</v>
      </c>
      <c r="C129" t="s">
        <v>113</v>
      </c>
      <c r="E129" s="42">
        <v>13</v>
      </c>
    </row>
    <row r="130" spans="1:5" x14ac:dyDescent="0.25">
      <c r="A130" s="1">
        <f t="shared" si="9"/>
        <v>93</v>
      </c>
      <c r="B130" t="s">
        <v>85</v>
      </c>
      <c r="C130" t="s">
        <v>114</v>
      </c>
      <c r="E130" s="42">
        <v>14</v>
      </c>
    </row>
    <row r="131" spans="1:5" x14ac:dyDescent="0.25">
      <c r="A131" s="1">
        <f t="shared" si="9"/>
        <v>94</v>
      </c>
      <c r="B131" t="s">
        <v>86</v>
      </c>
      <c r="C131" t="s">
        <v>115</v>
      </c>
      <c r="E131" s="42">
        <v>13</v>
      </c>
    </row>
    <row r="132" spans="1:5" x14ac:dyDescent="0.25">
      <c r="A132" s="1">
        <f t="shared" si="9"/>
        <v>95</v>
      </c>
      <c r="B132" t="s">
        <v>87</v>
      </c>
      <c r="C132" t="s">
        <v>116</v>
      </c>
      <c r="E132" s="42">
        <v>10</v>
      </c>
    </row>
    <row r="133" spans="1:5" x14ac:dyDescent="0.25">
      <c r="A133" s="1">
        <f t="shared" si="9"/>
        <v>96</v>
      </c>
      <c r="B133" t="s">
        <v>88</v>
      </c>
      <c r="C133" t="s">
        <v>117</v>
      </c>
      <c r="E133" s="42">
        <v>7</v>
      </c>
    </row>
    <row r="134" spans="1:5" x14ac:dyDescent="0.25">
      <c r="A134" s="1">
        <f t="shared" si="9"/>
        <v>97</v>
      </c>
      <c r="B134" t="s">
        <v>89</v>
      </c>
      <c r="C134" t="s">
        <v>118</v>
      </c>
      <c r="E134" s="42">
        <v>4</v>
      </c>
    </row>
    <row r="135" spans="1:5" x14ac:dyDescent="0.25">
      <c r="A135" s="1">
        <f t="shared" si="9"/>
        <v>98</v>
      </c>
      <c r="B135" t="s">
        <v>90</v>
      </c>
      <c r="C135" t="s">
        <v>119</v>
      </c>
      <c r="E135" s="42">
        <v>6</v>
      </c>
    </row>
    <row r="137" spans="1:5" x14ac:dyDescent="0.25">
      <c r="B137" s="12" t="s">
        <v>75</v>
      </c>
    </row>
    <row r="138" spans="1:5" x14ac:dyDescent="0.25">
      <c r="A138" s="1">
        <f>A135+1</f>
        <v>99</v>
      </c>
      <c r="B138" t="s">
        <v>79</v>
      </c>
      <c r="C138" t="s">
        <v>120</v>
      </c>
      <c r="E138" s="42">
        <v>824</v>
      </c>
    </row>
    <row r="139" spans="1:5" x14ac:dyDescent="0.25">
      <c r="A139" s="1">
        <f>A138+1</f>
        <v>100</v>
      </c>
      <c r="B139" t="s">
        <v>80</v>
      </c>
      <c r="C139" t="s">
        <v>121</v>
      </c>
      <c r="E139" s="42">
        <v>824</v>
      </c>
    </row>
    <row r="140" spans="1:5" x14ac:dyDescent="0.25">
      <c r="A140" s="1">
        <f t="shared" ref="A140:A149" si="10">A139+1</f>
        <v>101</v>
      </c>
      <c r="B140" t="s">
        <v>81</v>
      </c>
      <c r="C140" t="s">
        <v>122</v>
      </c>
      <c r="E140" s="42">
        <v>824</v>
      </c>
    </row>
    <row r="141" spans="1:5" x14ac:dyDescent="0.25">
      <c r="A141" s="1">
        <f t="shared" si="10"/>
        <v>102</v>
      </c>
      <c r="B141" t="s">
        <v>82</v>
      </c>
      <c r="C141" t="s">
        <v>123</v>
      </c>
      <c r="E141" s="42">
        <v>824</v>
      </c>
    </row>
    <row r="142" spans="1:5" x14ac:dyDescent="0.25">
      <c r="A142" s="1">
        <f t="shared" si="10"/>
        <v>103</v>
      </c>
      <c r="B142" t="s">
        <v>83</v>
      </c>
      <c r="C142" t="s">
        <v>124</v>
      </c>
      <c r="E142" s="42">
        <v>824</v>
      </c>
    </row>
    <row r="143" spans="1:5" x14ac:dyDescent="0.25">
      <c r="A143" s="1">
        <f t="shared" si="10"/>
        <v>104</v>
      </c>
      <c r="B143" t="s">
        <v>84</v>
      </c>
      <c r="C143" t="s">
        <v>125</v>
      </c>
      <c r="E143" s="42">
        <v>824</v>
      </c>
    </row>
    <row r="144" spans="1:5" x14ac:dyDescent="0.25">
      <c r="A144" s="1">
        <f t="shared" si="10"/>
        <v>105</v>
      </c>
      <c r="B144" t="s">
        <v>85</v>
      </c>
      <c r="C144" t="s">
        <v>126</v>
      </c>
      <c r="E144" s="42">
        <v>824</v>
      </c>
    </row>
    <row r="145" spans="1:5" x14ac:dyDescent="0.25">
      <c r="A145" s="1">
        <f t="shared" si="10"/>
        <v>106</v>
      </c>
      <c r="B145" t="s">
        <v>86</v>
      </c>
      <c r="C145" t="s">
        <v>127</v>
      </c>
      <c r="E145" s="42">
        <v>824</v>
      </c>
    </row>
    <row r="146" spans="1:5" x14ac:dyDescent="0.25">
      <c r="A146" s="1">
        <f t="shared" si="10"/>
        <v>107</v>
      </c>
      <c r="B146" t="s">
        <v>87</v>
      </c>
      <c r="C146" t="s">
        <v>128</v>
      </c>
      <c r="E146" s="42">
        <v>824</v>
      </c>
    </row>
    <row r="147" spans="1:5" x14ac:dyDescent="0.25">
      <c r="A147" s="1">
        <f t="shared" si="10"/>
        <v>108</v>
      </c>
      <c r="B147" t="s">
        <v>88</v>
      </c>
      <c r="C147" t="s">
        <v>129</v>
      </c>
      <c r="E147" s="42">
        <v>824</v>
      </c>
    </row>
    <row r="148" spans="1:5" x14ac:dyDescent="0.25">
      <c r="A148" s="1">
        <f t="shared" si="10"/>
        <v>109</v>
      </c>
      <c r="B148" t="s">
        <v>89</v>
      </c>
      <c r="C148" t="s">
        <v>130</v>
      </c>
      <c r="E148" s="42">
        <v>824</v>
      </c>
    </row>
    <row r="149" spans="1:5" x14ac:dyDescent="0.25">
      <c r="A149" s="1">
        <f t="shared" si="10"/>
        <v>110</v>
      </c>
      <c r="B149" t="s">
        <v>90</v>
      </c>
      <c r="C149" t="s">
        <v>131</v>
      </c>
      <c r="E149" s="42">
        <v>824</v>
      </c>
    </row>
    <row r="151" spans="1:5" x14ac:dyDescent="0.25">
      <c r="B151" s="12" t="s">
        <v>76</v>
      </c>
    </row>
    <row r="152" spans="1:5" x14ac:dyDescent="0.25">
      <c r="A152" s="1">
        <f>A149+1</f>
        <v>111</v>
      </c>
      <c r="B152" t="s">
        <v>79</v>
      </c>
      <c r="C152" t="s">
        <v>132</v>
      </c>
      <c r="E152" s="42">
        <v>50</v>
      </c>
    </row>
    <row r="153" spans="1:5" x14ac:dyDescent="0.25">
      <c r="A153" s="1">
        <f>A152+1</f>
        <v>112</v>
      </c>
      <c r="B153" t="s">
        <v>80</v>
      </c>
      <c r="C153" t="s">
        <v>133</v>
      </c>
      <c r="E153" s="42">
        <v>50</v>
      </c>
    </row>
    <row r="154" spans="1:5" x14ac:dyDescent="0.25">
      <c r="A154" s="1">
        <f t="shared" ref="A154:A163" si="11">A153+1</f>
        <v>113</v>
      </c>
      <c r="B154" t="s">
        <v>81</v>
      </c>
      <c r="C154" t="s">
        <v>134</v>
      </c>
      <c r="E154" s="42">
        <v>50</v>
      </c>
    </row>
    <row r="155" spans="1:5" x14ac:dyDescent="0.25">
      <c r="A155" s="1">
        <f t="shared" si="11"/>
        <v>114</v>
      </c>
      <c r="B155" t="s">
        <v>82</v>
      </c>
      <c r="C155" t="s">
        <v>135</v>
      </c>
      <c r="E155" s="42">
        <v>50</v>
      </c>
    </row>
    <row r="156" spans="1:5" x14ac:dyDescent="0.25">
      <c r="A156" s="1">
        <f t="shared" si="11"/>
        <v>115</v>
      </c>
      <c r="B156" t="s">
        <v>83</v>
      </c>
      <c r="C156" t="s">
        <v>136</v>
      </c>
      <c r="E156" s="42">
        <v>50</v>
      </c>
    </row>
    <row r="157" spans="1:5" x14ac:dyDescent="0.25">
      <c r="A157" s="1">
        <f t="shared" si="11"/>
        <v>116</v>
      </c>
      <c r="B157" t="s">
        <v>84</v>
      </c>
      <c r="C157" t="s">
        <v>137</v>
      </c>
      <c r="E157" s="42">
        <v>50</v>
      </c>
    </row>
    <row r="158" spans="1:5" x14ac:dyDescent="0.25">
      <c r="A158" s="1">
        <f t="shared" si="11"/>
        <v>117</v>
      </c>
      <c r="B158" t="s">
        <v>85</v>
      </c>
      <c r="C158" t="s">
        <v>138</v>
      </c>
      <c r="E158" s="42">
        <v>50</v>
      </c>
    </row>
    <row r="159" spans="1:5" x14ac:dyDescent="0.25">
      <c r="A159" s="1">
        <f t="shared" si="11"/>
        <v>118</v>
      </c>
      <c r="B159" t="s">
        <v>86</v>
      </c>
      <c r="C159" t="s">
        <v>139</v>
      </c>
      <c r="E159" s="42">
        <v>50</v>
      </c>
    </row>
    <row r="160" spans="1:5" x14ac:dyDescent="0.25">
      <c r="A160" s="1">
        <f t="shared" si="11"/>
        <v>119</v>
      </c>
      <c r="B160" t="s">
        <v>87</v>
      </c>
      <c r="C160" t="s">
        <v>140</v>
      </c>
      <c r="E160" s="42">
        <v>50</v>
      </c>
    </row>
    <row r="161" spans="1:5" x14ac:dyDescent="0.25">
      <c r="A161" s="1">
        <f t="shared" si="11"/>
        <v>120</v>
      </c>
      <c r="B161" t="s">
        <v>88</v>
      </c>
      <c r="C161" t="s">
        <v>141</v>
      </c>
      <c r="E161" s="42">
        <v>50</v>
      </c>
    </row>
    <row r="162" spans="1:5" x14ac:dyDescent="0.25">
      <c r="A162" s="1">
        <f t="shared" si="11"/>
        <v>121</v>
      </c>
      <c r="B162" t="s">
        <v>89</v>
      </c>
      <c r="C162" t="s">
        <v>142</v>
      </c>
      <c r="E162" s="42">
        <v>50</v>
      </c>
    </row>
    <row r="163" spans="1:5" x14ac:dyDescent="0.25">
      <c r="A163" s="1">
        <f t="shared" si="11"/>
        <v>122</v>
      </c>
      <c r="B163" t="s">
        <v>90</v>
      </c>
      <c r="C163" t="s">
        <v>143</v>
      </c>
      <c r="E163" s="42">
        <v>50</v>
      </c>
    </row>
    <row r="165" spans="1:5" x14ac:dyDescent="0.25">
      <c r="B165" s="12" t="s">
        <v>77</v>
      </c>
    </row>
    <row r="166" spans="1:5" x14ac:dyDescent="0.25">
      <c r="A166" s="1">
        <f>A163+1</f>
        <v>123</v>
      </c>
      <c r="B166" t="s">
        <v>79</v>
      </c>
      <c r="C166" t="s">
        <v>144</v>
      </c>
      <c r="E166" s="42">
        <v>10</v>
      </c>
    </row>
    <row r="167" spans="1:5" x14ac:dyDescent="0.25">
      <c r="A167" s="1">
        <f>A166+1</f>
        <v>124</v>
      </c>
      <c r="B167" t="s">
        <v>80</v>
      </c>
      <c r="C167" t="s">
        <v>145</v>
      </c>
      <c r="E167" s="42">
        <v>10</v>
      </c>
    </row>
    <row r="168" spans="1:5" x14ac:dyDescent="0.25">
      <c r="A168" s="1">
        <f t="shared" ref="A168:A177" si="12">A167+1</f>
        <v>125</v>
      </c>
      <c r="B168" t="s">
        <v>81</v>
      </c>
      <c r="C168" t="s">
        <v>146</v>
      </c>
      <c r="E168" s="42">
        <v>10</v>
      </c>
    </row>
    <row r="169" spans="1:5" x14ac:dyDescent="0.25">
      <c r="A169" s="1">
        <f t="shared" si="12"/>
        <v>126</v>
      </c>
      <c r="B169" t="s">
        <v>82</v>
      </c>
      <c r="C169" t="s">
        <v>147</v>
      </c>
      <c r="E169" s="42">
        <v>10</v>
      </c>
    </row>
    <row r="170" spans="1:5" x14ac:dyDescent="0.25">
      <c r="A170" s="1">
        <f t="shared" si="12"/>
        <v>127</v>
      </c>
      <c r="B170" t="s">
        <v>83</v>
      </c>
      <c r="C170" t="s">
        <v>148</v>
      </c>
      <c r="E170" s="42">
        <v>10</v>
      </c>
    </row>
    <row r="171" spans="1:5" x14ac:dyDescent="0.25">
      <c r="A171" s="1">
        <f t="shared" si="12"/>
        <v>128</v>
      </c>
      <c r="B171" t="s">
        <v>84</v>
      </c>
      <c r="C171" t="s">
        <v>149</v>
      </c>
      <c r="E171" s="42">
        <v>10</v>
      </c>
    </row>
    <row r="172" spans="1:5" x14ac:dyDescent="0.25">
      <c r="A172" s="1">
        <f t="shared" si="12"/>
        <v>129</v>
      </c>
      <c r="B172" t="s">
        <v>85</v>
      </c>
      <c r="C172" t="s">
        <v>150</v>
      </c>
      <c r="E172" s="42">
        <v>75</v>
      </c>
    </row>
    <row r="173" spans="1:5" x14ac:dyDescent="0.25">
      <c r="A173" s="1">
        <f t="shared" si="12"/>
        <v>130</v>
      </c>
      <c r="B173" t="s">
        <v>86</v>
      </c>
      <c r="C173" t="s">
        <v>151</v>
      </c>
      <c r="E173" s="42">
        <v>75</v>
      </c>
    </row>
    <row r="174" spans="1:5" x14ac:dyDescent="0.25">
      <c r="A174" s="1">
        <f t="shared" si="12"/>
        <v>131</v>
      </c>
      <c r="B174" t="s">
        <v>87</v>
      </c>
      <c r="C174" t="s">
        <v>152</v>
      </c>
      <c r="E174" s="42">
        <v>264</v>
      </c>
    </row>
    <row r="175" spans="1:5" x14ac:dyDescent="0.25">
      <c r="A175" s="1">
        <f t="shared" si="12"/>
        <v>132</v>
      </c>
      <c r="B175" t="s">
        <v>88</v>
      </c>
      <c r="C175" t="s">
        <v>153</v>
      </c>
      <c r="E175" s="42">
        <v>260</v>
      </c>
    </row>
    <row r="176" spans="1:5" x14ac:dyDescent="0.25">
      <c r="A176" s="1">
        <f t="shared" si="12"/>
        <v>133</v>
      </c>
      <c r="B176" t="s">
        <v>89</v>
      </c>
      <c r="C176" t="s">
        <v>154</v>
      </c>
      <c r="E176" s="42">
        <v>260</v>
      </c>
    </row>
    <row r="177" spans="1:5" x14ac:dyDescent="0.25">
      <c r="A177" s="1">
        <f t="shared" si="12"/>
        <v>134</v>
      </c>
      <c r="B177" t="s">
        <v>90</v>
      </c>
      <c r="C177" t="s">
        <v>155</v>
      </c>
      <c r="E177" s="42">
        <v>260</v>
      </c>
    </row>
    <row r="179" spans="1:5" x14ac:dyDescent="0.25">
      <c r="B179" s="12" t="s">
        <v>78</v>
      </c>
    </row>
    <row r="180" spans="1:5" x14ac:dyDescent="0.25">
      <c r="A180" s="1">
        <f>A177+1</f>
        <v>135</v>
      </c>
      <c r="B180" t="s">
        <v>79</v>
      </c>
      <c r="C180" t="s">
        <v>156</v>
      </c>
      <c r="E180" s="42">
        <v>400</v>
      </c>
    </row>
    <row r="181" spans="1:5" x14ac:dyDescent="0.25">
      <c r="A181" s="1">
        <f>A180+1</f>
        <v>136</v>
      </c>
      <c r="B181" t="s">
        <v>80</v>
      </c>
      <c r="C181" t="s">
        <v>157</v>
      </c>
      <c r="E181" s="42">
        <v>400</v>
      </c>
    </row>
    <row r="182" spans="1:5" x14ac:dyDescent="0.25">
      <c r="A182" s="1">
        <f t="shared" ref="A182:A191" si="13">A181+1</f>
        <v>137</v>
      </c>
      <c r="B182" t="s">
        <v>81</v>
      </c>
      <c r="C182" t="s">
        <v>158</v>
      </c>
      <c r="E182" s="42">
        <v>400</v>
      </c>
    </row>
    <row r="183" spans="1:5" x14ac:dyDescent="0.25">
      <c r="A183" s="1">
        <f t="shared" si="13"/>
        <v>138</v>
      </c>
      <c r="B183" t="s">
        <v>82</v>
      </c>
      <c r="C183" t="s">
        <v>159</v>
      </c>
      <c r="E183" s="42">
        <v>400</v>
      </c>
    </row>
    <row r="184" spans="1:5" x14ac:dyDescent="0.25">
      <c r="A184" s="1">
        <f t="shared" si="13"/>
        <v>139</v>
      </c>
      <c r="B184" t="s">
        <v>83</v>
      </c>
      <c r="C184" t="s">
        <v>160</v>
      </c>
      <c r="E184" s="42">
        <v>400</v>
      </c>
    </row>
    <row r="185" spans="1:5" x14ac:dyDescent="0.25">
      <c r="A185" s="1">
        <f t="shared" si="13"/>
        <v>140</v>
      </c>
      <c r="B185" t="s">
        <v>84</v>
      </c>
      <c r="C185" t="s">
        <v>161</v>
      </c>
      <c r="E185" s="42">
        <v>400</v>
      </c>
    </row>
    <row r="186" spans="1:5" x14ac:dyDescent="0.25">
      <c r="A186" s="1">
        <f t="shared" si="13"/>
        <v>141</v>
      </c>
      <c r="B186" t="s">
        <v>85</v>
      </c>
      <c r="C186" t="s">
        <v>162</v>
      </c>
      <c r="E186" s="42">
        <v>400</v>
      </c>
    </row>
    <row r="187" spans="1:5" x14ac:dyDescent="0.25">
      <c r="A187" s="1">
        <f t="shared" si="13"/>
        <v>142</v>
      </c>
      <c r="B187" t="s">
        <v>86</v>
      </c>
      <c r="C187" t="s">
        <v>163</v>
      </c>
      <c r="E187" s="42">
        <v>400</v>
      </c>
    </row>
    <row r="188" spans="1:5" x14ac:dyDescent="0.25">
      <c r="A188" s="1">
        <f t="shared" si="13"/>
        <v>143</v>
      </c>
      <c r="B188" t="s">
        <v>87</v>
      </c>
      <c r="C188" t="s">
        <v>164</v>
      </c>
      <c r="E188" s="42">
        <v>400</v>
      </c>
    </row>
    <row r="189" spans="1:5" x14ac:dyDescent="0.25">
      <c r="A189" s="1">
        <f t="shared" si="13"/>
        <v>144</v>
      </c>
      <c r="B189" t="s">
        <v>88</v>
      </c>
      <c r="C189" t="s">
        <v>165</v>
      </c>
      <c r="E189" s="42">
        <v>400</v>
      </c>
    </row>
    <row r="190" spans="1:5" x14ac:dyDescent="0.25">
      <c r="A190" s="1">
        <f t="shared" si="13"/>
        <v>145</v>
      </c>
      <c r="B190" t="s">
        <v>89</v>
      </c>
      <c r="C190" t="s">
        <v>166</v>
      </c>
      <c r="E190" s="42">
        <v>400</v>
      </c>
    </row>
    <row r="191" spans="1:5" x14ac:dyDescent="0.25">
      <c r="A191" s="1">
        <f t="shared" si="13"/>
        <v>146</v>
      </c>
      <c r="B191" t="s">
        <v>90</v>
      </c>
      <c r="C191" t="s">
        <v>167</v>
      </c>
      <c r="E191" s="42">
        <v>400</v>
      </c>
    </row>
    <row r="192" spans="1:5" ht="5.25" customHeight="1" thickBot="1" x14ac:dyDescent="0.3">
      <c r="A192" s="24"/>
      <c r="B192" s="4"/>
      <c r="C192" s="4"/>
      <c r="D192" s="4"/>
      <c r="E192" s="4"/>
    </row>
    <row r="193" spans="1:5" ht="5.25" customHeight="1" thickTop="1" x14ac:dyDescent="0.25"/>
    <row r="194" spans="1:5" x14ac:dyDescent="0.25">
      <c r="A194" s="22" t="str">
        <f>note</f>
        <v>Notes and Sources:</v>
      </c>
    </row>
    <row r="195" spans="1:5" ht="18.75" x14ac:dyDescent="0.25">
      <c r="A195" s="237">
        <v>1</v>
      </c>
      <c r="B195" s="210" t="s">
        <v>1153</v>
      </c>
      <c r="C195" s="210"/>
      <c r="D195" s="210"/>
      <c r="E195" s="210"/>
    </row>
    <row r="196" spans="1:5" ht="5.25" customHeight="1" thickBot="1" x14ac:dyDescent="0.3">
      <c r="A196" s="24"/>
      <c r="B196" s="4"/>
      <c r="C196" s="4"/>
      <c r="D196" s="4"/>
      <c r="E196" s="4"/>
    </row>
    <row r="197" spans="1:5" ht="5.25" customHeight="1" thickTop="1" x14ac:dyDescent="0.25"/>
  </sheetData>
  <mergeCells count="5">
    <mergeCell ref="A7:A9"/>
    <mergeCell ref="B7:B8"/>
    <mergeCell ref="C7:C8"/>
    <mergeCell ref="D7:D8"/>
    <mergeCell ref="E7:E8"/>
  </mergeCells>
  <phoneticPr fontId="7" type="noConversion"/>
  <pageMargins left="0.7" right="0.7" top="0.75" bottom="0.75" header="0.3" footer="0.3"/>
  <pageSetup scale="59" fitToHeight="0" orientation="portrait" horizontalDpi="1200" verticalDpi="1200" r:id="rId1"/>
  <headerFooter>
    <oddFooter>&amp;L&amp;6{W0327924.2 }</oddFooter>
  </headerFooter>
  <rowBreaks count="1" manualBreakCount="1">
    <brk id="1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28"/>
  <sheetViews>
    <sheetView workbookViewId="0"/>
  </sheetViews>
  <sheetFormatPr defaultRowHeight="15.75" x14ac:dyDescent="0.25"/>
  <cols>
    <col min="1" max="1" width="4.25" style="1" customWidth="1"/>
    <col min="2" max="2" width="39.25" customWidth="1"/>
    <col min="3" max="3" width="10.5" customWidth="1"/>
    <col min="4" max="4" width="11.75" customWidth="1"/>
    <col min="5" max="5" width="11.125" customWidth="1"/>
    <col min="6" max="6" width="11.5" customWidth="1"/>
    <col min="7" max="19" width="10.625" customWidth="1"/>
    <col min="20" max="20" width="15.25" customWidth="1"/>
    <col min="23" max="23" width="17.25" customWidth="1"/>
    <col min="24" max="24" width="38.75" customWidth="1"/>
  </cols>
  <sheetData>
    <row r="1" spans="1:24" x14ac:dyDescent="0.25">
      <c r="A1" s="6" t="str">
        <f>epe</f>
        <v>El Paso Electric Company</v>
      </c>
      <c r="M1" s="8" t="str">
        <f>$X$1</f>
        <v>Worksheet P3</v>
      </c>
      <c r="T1" s="8" t="str">
        <f>$X$1</f>
        <v>Worksheet P3</v>
      </c>
      <c r="X1" s="8" t="s">
        <v>906</v>
      </c>
    </row>
    <row r="2" spans="1:24" x14ac:dyDescent="0.25">
      <c r="A2" t="str">
        <f>frtp</f>
        <v>Formula Rate Template (Projected)</v>
      </c>
      <c r="S2" s="8"/>
      <c r="X2" s="8"/>
    </row>
    <row r="3" spans="1:24" x14ac:dyDescent="0.25">
      <c r="A3" t="s">
        <v>30</v>
      </c>
    </row>
    <row r="4" spans="1:24" x14ac:dyDescent="0.25">
      <c r="A4" t="str">
        <f>"12 Months Ended December 31, "&amp;YEAR('A1 (FF1 Inputs)'!$E$12)+2</f>
        <v>12 Months Ended December 31, 2022</v>
      </c>
    </row>
    <row r="5" spans="1:24" ht="5.25" customHeight="1" thickBot="1" x14ac:dyDescent="0.3">
      <c r="A5" s="4"/>
      <c r="B5" s="4"/>
      <c r="C5" s="4"/>
      <c r="D5" s="4"/>
      <c r="E5" s="4"/>
      <c r="F5" s="4"/>
      <c r="G5" s="4"/>
      <c r="H5" s="4"/>
      <c r="I5" s="4"/>
      <c r="J5" s="4"/>
      <c r="K5" s="4"/>
      <c r="L5" s="4"/>
      <c r="M5" s="4"/>
      <c r="N5" s="4"/>
      <c r="O5" s="4"/>
      <c r="P5" s="4"/>
      <c r="Q5" s="4"/>
      <c r="R5" s="4"/>
      <c r="S5" s="4"/>
      <c r="T5" s="4"/>
      <c r="U5" s="4"/>
      <c r="V5" s="4"/>
      <c r="W5" s="4"/>
      <c r="X5" s="4"/>
    </row>
    <row r="6" spans="1:24" ht="5.25" customHeight="1" thickTop="1" x14ac:dyDescent="0.25">
      <c r="A6"/>
    </row>
    <row r="7" spans="1:24" s="3" customFormat="1" ht="15.75" customHeight="1" x14ac:dyDescent="0.25">
      <c r="A7" s="266" t="str">
        <f>ln</f>
        <v>Line No.</v>
      </c>
      <c r="B7" s="266" t="s">
        <v>678</v>
      </c>
      <c r="C7" s="266" t="s">
        <v>385</v>
      </c>
      <c r="D7" s="266" t="s">
        <v>686</v>
      </c>
      <c r="E7" s="266" t="s">
        <v>435</v>
      </c>
      <c r="F7" s="266" t="s">
        <v>685</v>
      </c>
      <c r="G7" s="270" t="s">
        <v>427</v>
      </c>
      <c r="H7" s="270"/>
      <c r="I7" s="270"/>
      <c r="J7" s="270"/>
      <c r="K7" s="270"/>
      <c r="L7" s="270"/>
      <c r="M7" s="270"/>
      <c r="N7" s="270" t="str">
        <f>G7</f>
        <v>BALANCES</v>
      </c>
      <c r="O7" s="270"/>
      <c r="P7" s="270"/>
      <c r="Q7" s="270"/>
      <c r="R7" s="270"/>
      <c r="S7" s="270"/>
      <c r="T7" s="266" t="s">
        <v>688</v>
      </c>
      <c r="U7" s="270" t="s">
        <v>393</v>
      </c>
      <c r="V7" s="270"/>
      <c r="W7" s="275" t="s">
        <v>430</v>
      </c>
      <c r="X7" s="266" t="s">
        <v>687</v>
      </c>
    </row>
    <row r="8" spans="1:24" s="3" customFormat="1" x14ac:dyDescent="0.25">
      <c r="A8" s="266"/>
      <c r="B8" s="266"/>
      <c r="C8" s="266"/>
      <c r="D8" s="266"/>
      <c r="E8" s="266"/>
      <c r="F8" s="266"/>
      <c r="G8" s="3" t="str">
        <f>"Dec-"&amp;YEAR('A1 (FF1 Inputs)'!$E$12)+1</f>
        <v>Dec-2021</v>
      </c>
      <c r="H8" s="3" t="str">
        <f>"Jan-"&amp;YEAR('A1 (FF1 Inputs)'!$E$12)+2</f>
        <v>Jan-2022</v>
      </c>
      <c r="I8" s="3" t="str">
        <f>"Feb-"&amp;YEAR('A1 (FF1 Inputs)'!$E$12)+2</f>
        <v>Feb-2022</v>
      </c>
      <c r="J8" s="3" t="str">
        <f>"Mar-"&amp;YEAR('A1 (FF1 Inputs)'!$E$12)+2</f>
        <v>Mar-2022</v>
      </c>
      <c r="K8" s="3" t="str">
        <f>"Apr-"&amp;YEAR('A1 (FF1 Inputs)'!$E$12)+2</f>
        <v>Apr-2022</v>
      </c>
      <c r="L8" s="3" t="str">
        <f>"May-"&amp;YEAR('A1 (FF1 Inputs)'!$E$12)+2</f>
        <v>May-2022</v>
      </c>
      <c r="M8" s="3" t="str">
        <f>"Jun-"&amp;YEAR('A1 (FF1 Inputs)'!$E$12)+2</f>
        <v>Jun-2022</v>
      </c>
      <c r="N8" s="3" t="str">
        <f>"Jul-"&amp;YEAR('A1 (FF1 Inputs)'!$E$12)+2</f>
        <v>Jul-2022</v>
      </c>
      <c r="O8" s="3" t="str">
        <f>"Aug-"&amp;YEAR('A1 (FF1 Inputs)'!$E$12)+2</f>
        <v>Aug-2022</v>
      </c>
      <c r="P8" s="3" t="str">
        <f>"Sep-"&amp;YEAR('A1 (FF1 Inputs)'!$E$12)+2</f>
        <v>Sep-2022</v>
      </c>
      <c r="Q8" s="3" t="str">
        <f>"Oct-"&amp;YEAR('A1 (FF1 Inputs)'!$E$12)+2</f>
        <v>Oct-2022</v>
      </c>
      <c r="R8" s="3" t="str">
        <f>"Nov-"&amp;YEAR('A1 (FF1 Inputs)'!$E$12)+2</f>
        <v>Nov-2022</v>
      </c>
      <c r="S8" s="3" t="str">
        <f>"Dec-"&amp;YEAR('A1 (FF1 Inputs)'!$E$12)+2</f>
        <v>Dec-2022</v>
      </c>
      <c r="T8" s="266"/>
      <c r="U8" s="3" t="s">
        <v>5</v>
      </c>
      <c r="V8" s="3" t="s">
        <v>6</v>
      </c>
      <c r="W8" s="275"/>
      <c r="X8" s="266"/>
    </row>
    <row r="9" spans="1:24" s="1" customFormat="1" ht="31.5"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2" t="s">
        <v>395</v>
      </c>
      <c r="P9" s="2" t="s">
        <v>396</v>
      </c>
      <c r="Q9" s="2" t="s">
        <v>397</v>
      </c>
      <c r="R9" s="2" t="s">
        <v>398</v>
      </c>
      <c r="S9" s="2" t="s">
        <v>399</v>
      </c>
      <c r="T9" s="3" t="s">
        <v>436</v>
      </c>
      <c r="U9" s="2" t="s">
        <v>401</v>
      </c>
      <c r="V9" s="2" t="s">
        <v>402</v>
      </c>
      <c r="W9" s="2" t="s">
        <v>437</v>
      </c>
      <c r="X9" s="2" t="s">
        <v>404</v>
      </c>
    </row>
    <row r="10" spans="1:24" ht="5.25" customHeight="1" x14ac:dyDescent="0.25">
      <c r="A10" s="5"/>
      <c r="B10" s="5"/>
      <c r="C10" s="5"/>
      <c r="D10" s="5"/>
      <c r="E10" s="5"/>
      <c r="F10" s="5"/>
      <c r="G10" s="5"/>
      <c r="H10" s="5"/>
      <c r="I10" s="5"/>
      <c r="J10" s="5"/>
      <c r="K10" s="5"/>
      <c r="L10" s="5"/>
      <c r="M10" s="5"/>
      <c r="N10" s="5"/>
      <c r="O10" s="5"/>
      <c r="P10" s="5"/>
      <c r="Q10" s="5"/>
      <c r="R10" s="5"/>
      <c r="S10" s="5"/>
      <c r="T10" s="5"/>
      <c r="U10" s="5"/>
      <c r="V10" s="5"/>
      <c r="W10" s="5"/>
      <c r="X10" s="5"/>
    </row>
    <row r="11" spans="1:24" ht="5.25" customHeight="1" x14ac:dyDescent="0.25">
      <c r="A11"/>
    </row>
    <row r="12" spans="1:24" x14ac:dyDescent="0.25">
      <c r="A12" s="31" t="s">
        <v>411</v>
      </c>
      <c r="B12" s="32" t="s">
        <v>357</v>
      </c>
      <c r="C12" s="31" t="s">
        <v>357</v>
      </c>
      <c r="D12" s="43">
        <v>0</v>
      </c>
      <c r="E12" s="31" t="s">
        <v>357</v>
      </c>
      <c r="F12" s="31" t="s">
        <v>357</v>
      </c>
      <c r="G12" s="37">
        <v>0</v>
      </c>
      <c r="H12" s="37">
        <v>0</v>
      </c>
      <c r="I12" s="37">
        <v>0</v>
      </c>
      <c r="J12" s="37">
        <v>0</v>
      </c>
      <c r="K12" s="37">
        <v>0</v>
      </c>
      <c r="L12" s="37">
        <v>0</v>
      </c>
      <c r="M12" s="37">
        <v>0</v>
      </c>
      <c r="N12" s="37">
        <v>0</v>
      </c>
      <c r="O12" s="37">
        <v>0</v>
      </c>
      <c r="P12" s="37">
        <v>0</v>
      </c>
      <c r="Q12" s="37">
        <v>0</v>
      </c>
      <c r="R12" s="37">
        <v>0</v>
      </c>
      <c r="S12" s="37">
        <v>0</v>
      </c>
      <c r="T12" s="41">
        <f>AVERAGE(G12:S12)</f>
        <v>0</v>
      </c>
      <c r="U12" s="31" t="s">
        <v>357</v>
      </c>
      <c r="V12" s="45">
        <f>IFERROR(VLOOKUP(U12,'P12 (Allocation Factors)'!$D:$F,3,0),0)</f>
        <v>0</v>
      </c>
      <c r="W12" s="41">
        <f>T12*V12*D12</f>
        <v>0</v>
      </c>
      <c r="X12" s="46" t="s">
        <v>357</v>
      </c>
    </row>
    <row r="13" spans="1:24" x14ac:dyDescent="0.25">
      <c r="A13" s="31" t="s">
        <v>412</v>
      </c>
      <c r="B13" s="32" t="s">
        <v>357</v>
      </c>
      <c r="C13" s="31" t="s">
        <v>357</v>
      </c>
      <c r="D13" s="43">
        <v>0</v>
      </c>
      <c r="E13" s="31" t="s">
        <v>357</v>
      </c>
      <c r="F13" s="31" t="s">
        <v>357</v>
      </c>
      <c r="G13" s="37">
        <v>0</v>
      </c>
      <c r="H13" s="37">
        <v>0</v>
      </c>
      <c r="I13" s="37">
        <v>0</v>
      </c>
      <c r="J13" s="37">
        <v>0</v>
      </c>
      <c r="K13" s="37">
        <v>0</v>
      </c>
      <c r="L13" s="37">
        <v>0</v>
      </c>
      <c r="M13" s="37">
        <v>0</v>
      </c>
      <c r="N13" s="37">
        <v>0</v>
      </c>
      <c r="O13" s="37">
        <v>0</v>
      </c>
      <c r="P13" s="37">
        <v>0</v>
      </c>
      <c r="Q13" s="37">
        <v>0</v>
      </c>
      <c r="R13" s="37">
        <v>0</v>
      </c>
      <c r="S13" s="37">
        <v>0</v>
      </c>
      <c r="T13" s="41">
        <f t="shared" ref="T13:T18" si="0">AVERAGE(G13:S13)</f>
        <v>0</v>
      </c>
      <c r="U13" s="31" t="s">
        <v>357</v>
      </c>
      <c r="V13" s="45">
        <f>IFERROR(VLOOKUP(U13,'P12 (Allocation Factors)'!$D:$F,3,0),0)</f>
        <v>0</v>
      </c>
      <c r="W13" s="41">
        <f t="shared" ref="W13:W18" si="1">T13*V13*D13</f>
        <v>0</v>
      </c>
      <c r="X13" s="46" t="s">
        <v>357</v>
      </c>
    </row>
    <row r="14" spans="1:24" x14ac:dyDescent="0.25">
      <c r="A14" s="31" t="s">
        <v>413</v>
      </c>
      <c r="B14" s="32" t="s">
        <v>357</v>
      </c>
      <c r="C14" s="31" t="s">
        <v>357</v>
      </c>
      <c r="D14" s="43">
        <v>0</v>
      </c>
      <c r="E14" s="31" t="s">
        <v>357</v>
      </c>
      <c r="F14" s="31" t="s">
        <v>357</v>
      </c>
      <c r="G14" s="37">
        <v>0</v>
      </c>
      <c r="H14" s="37">
        <v>0</v>
      </c>
      <c r="I14" s="37">
        <v>0</v>
      </c>
      <c r="J14" s="37">
        <v>0</v>
      </c>
      <c r="K14" s="37">
        <v>0</v>
      </c>
      <c r="L14" s="37">
        <v>0</v>
      </c>
      <c r="M14" s="37">
        <v>0</v>
      </c>
      <c r="N14" s="37">
        <v>0</v>
      </c>
      <c r="O14" s="37">
        <v>0</v>
      </c>
      <c r="P14" s="37">
        <v>0</v>
      </c>
      <c r="Q14" s="37">
        <v>0</v>
      </c>
      <c r="R14" s="37">
        <v>0</v>
      </c>
      <c r="S14" s="37">
        <v>0</v>
      </c>
      <c r="T14" s="41">
        <f t="shared" si="0"/>
        <v>0</v>
      </c>
      <c r="U14" s="31" t="s">
        <v>357</v>
      </c>
      <c r="V14" s="45">
        <f>IFERROR(VLOOKUP(U14,'P12 (Allocation Factors)'!$D:$F,3,0),0)</f>
        <v>0</v>
      </c>
      <c r="W14" s="41">
        <f t="shared" si="1"/>
        <v>0</v>
      </c>
      <c r="X14" s="46" t="s">
        <v>357</v>
      </c>
    </row>
    <row r="15" spans="1:24" x14ac:dyDescent="0.25">
      <c r="A15" s="31" t="s">
        <v>357</v>
      </c>
      <c r="B15" s="32" t="s">
        <v>357</v>
      </c>
      <c r="C15" s="31" t="s">
        <v>357</v>
      </c>
      <c r="D15" s="43">
        <v>0</v>
      </c>
      <c r="E15" s="31" t="s">
        <v>357</v>
      </c>
      <c r="F15" s="31" t="s">
        <v>357</v>
      </c>
      <c r="G15" s="37">
        <v>0</v>
      </c>
      <c r="H15" s="37">
        <v>0</v>
      </c>
      <c r="I15" s="37">
        <v>0</v>
      </c>
      <c r="J15" s="37">
        <v>0</v>
      </c>
      <c r="K15" s="37">
        <v>0</v>
      </c>
      <c r="L15" s="37">
        <v>0</v>
      </c>
      <c r="M15" s="37">
        <v>0</v>
      </c>
      <c r="N15" s="37">
        <v>0</v>
      </c>
      <c r="O15" s="37">
        <v>0</v>
      </c>
      <c r="P15" s="37">
        <v>0</v>
      </c>
      <c r="Q15" s="37">
        <v>0</v>
      </c>
      <c r="R15" s="37">
        <v>0</v>
      </c>
      <c r="S15" s="37">
        <v>0</v>
      </c>
      <c r="T15" s="41">
        <f t="shared" si="0"/>
        <v>0</v>
      </c>
      <c r="U15" s="31" t="s">
        <v>357</v>
      </c>
      <c r="V15" s="45">
        <f>IFERROR(VLOOKUP(U15,'P12 (Allocation Factors)'!$D:$F,3,0),0)</f>
        <v>0</v>
      </c>
      <c r="W15" s="41">
        <f t="shared" si="1"/>
        <v>0</v>
      </c>
      <c r="X15" s="46" t="s">
        <v>357</v>
      </c>
    </row>
    <row r="16" spans="1:24" x14ac:dyDescent="0.25">
      <c r="A16" s="31" t="s">
        <v>357</v>
      </c>
      <c r="B16" s="32" t="s">
        <v>357</v>
      </c>
      <c r="C16" s="31" t="s">
        <v>357</v>
      </c>
      <c r="D16" s="43">
        <v>0</v>
      </c>
      <c r="E16" s="31" t="s">
        <v>357</v>
      </c>
      <c r="F16" s="31" t="s">
        <v>357</v>
      </c>
      <c r="G16" s="37">
        <v>0</v>
      </c>
      <c r="H16" s="37">
        <v>0</v>
      </c>
      <c r="I16" s="37">
        <v>0</v>
      </c>
      <c r="J16" s="37">
        <v>0</v>
      </c>
      <c r="K16" s="37">
        <v>0</v>
      </c>
      <c r="L16" s="37">
        <v>0</v>
      </c>
      <c r="M16" s="37">
        <v>0</v>
      </c>
      <c r="N16" s="37">
        <v>0</v>
      </c>
      <c r="O16" s="37">
        <v>0</v>
      </c>
      <c r="P16" s="37">
        <v>0</v>
      </c>
      <c r="Q16" s="37">
        <v>0</v>
      </c>
      <c r="R16" s="37">
        <v>0</v>
      </c>
      <c r="S16" s="37">
        <v>0</v>
      </c>
      <c r="T16" s="41">
        <f t="shared" si="0"/>
        <v>0</v>
      </c>
      <c r="U16" s="31" t="s">
        <v>357</v>
      </c>
      <c r="V16" s="45">
        <f>IFERROR(VLOOKUP(U16,'P12 (Allocation Factors)'!$D:$F,3,0),0)</f>
        <v>0</v>
      </c>
      <c r="W16" s="41">
        <f t="shared" si="1"/>
        <v>0</v>
      </c>
      <c r="X16" s="46" t="s">
        <v>357</v>
      </c>
    </row>
    <row r="17" spans="1:24" x14ac:dyDescent="0.25">
      <c r="A17" s="31" t="s">
        <v>357</v>
      </c>
      <c r="B17" s="32" t="s">
        <v>357</v>
      </c>
      <c r="C17" s="31" t="s">
        <v>357</v>
      </c>
      <c r="D17" s="43">
        <v>0</v>
      </c>
      <c r="E17" s="31" t="s">
        <v>357</v>
      </c>
      <c r="F17" s="31" t="s">
        <v>357</v>
      </c>
      <c r="G17" s="37">
        <v>0</v>
      </c>
      <c r="H17" s="37">
        <v>0</v>
      </c>
      <c r="I17" s="37">
        <v>0</v>
      </c>
      <c r="J17" s="37">
        <v>0</v>
      </c>
      <c r="K17" s="37">
        <v>0</v>
      </c>
      <c r="L17" s="37">
        <v>0</v>
      </c>
      <c r="M17" s="37">
        <v>0</v>
      </c>
      <c r="N17" s="37">
        <v>0</v>
      </c>
      <c r="O17" s="37">
        <v>0</v>
      </c>
      <c r="P17" s="37">
        <v>0</v>
      </c>
      <c r="Q17" s="37">
        <v>0</v>
      </c>
      <c r="R17" s="37">
        <v>0</v>
      </c>
      <c r="S17" s="37">
        <v>0</v>
      </c>
      <c r="T17" s="41">
        <f t="shared" si="0"/>
        <v>0</v>
      </c>
      <c r="U17" s="31" t="s">
        <v>357</v>
      </c>
      <c r="V17" s="45">
        <f>IFERROR(VLOOKUP(U17,'P12 (Allocation Factors)'!$D:$F,3,0),0)</f>
        <v>0</v>
      </c>
      <c r="W17" s="41">
        <f t="shared" si="1"/>
        <v>0</v>
      </c>
      <c r="X17" s="46" t="s">
        <v>357</v>
      </c>
    </row>
    <row r="18" spans="1:24" x14ac:dyDescent="0.25">
      <c r="A18" s="1" t="s">
        <v>478</v>
      </c>
      <c r="B18" s="104" t="s">
        <v>357</v>
      </c>
      <c r="C18" s="73" t="s">
        <v>357</v>
      </c>
      <c r="D18" s="105">
        <v>0</v>
      </c>
      <c r="E18" s="73" t="s">
        <v>357</v>
      </c>
      <c r="F18" s="73" t="s">
        <v>357</v>
      </c>
      <c r="G18" s="20">
        <v>0</v>
      </c>
      <c r="H18" s="20">
        <v>0</v>
      </c>
      <c r="I18" s="20">
        <v>0</v>
      </c>
      <c r="J18" s="20">
        <v>0</v>
      </c>
      <c r="K18" s="20">
        <v>0</v>
      </c>
      <c r="L18" s="20">
        <v>0</v>
      </c>
      <c r="M18" s="20">
        <v>0</v>
      </c>
      <c r="N18" s="20">
        <v>0</v>
      </c>
      <c r="O18" s="20">
        <v>0</v>
      </c>
      <c r="P18" s="20">
        <v>0</v>
      </c>
      <c r="Q18" s="20">
        <v>0</v>
      </c>
      <c r="R18" s="20">
        <v>0</v>
      </c>
      <c r="S18" s="20">
        <v>0</v>
      </c>
      <c r="T18" s="10">
        <f t="shared" si="0"/>
        <v>0</v>
      </c>
      <c r="U18" s="73" t="s">
        <v>357</v>
      </c>
      <c r="V18" s="45">
        <f>IFERROR(VLOOKUP(U18,'P12 (Allocation Factors)'!$D:$F,3,0),0)</f>
        <v>0</v>
      </c>
      <c r="W18" s="10">
        <f t="shared" si="1"/>
        <v>0</v>
      </c>
      <c r="X18" s="48" t="s">
        <v>357</v>
      </c>
    </row>
    <row r="19" spans="1:24" s="6" customFormat="1" x14ac:dyDescent="0.25">
      <c r="A19" s="88">
        <v>2</v>
      </c>
      <c r="B19" s="89" t="str">
        <f>"Total Construction Work in Progress (Sum Lns. ("&amp;A12&amp;" through "&amp;A18&amp;"))"</f>
        <v>Total Construction Work in Progress (Sum Lns. (1a through 1zz))</v>
      </c>
      <c r="C19" s="89"/>
      <c r="D19" s="89"/>
      <c r="E19" s="89"/>
      <c r="F19" s="89"/>
      <c r="G19" s="90">
        <f t="shared" ref="G19:T19" si="2">SUM(G12:G18)</f>
        <v>0</v>
      </c>
      <c r="H19" s="90">
        <f t="shared" si="2"/>
        <v>0</v>
      </c>
      <c r="I19" s="90">
        <f t="shared" si="2"/>
        <v>0</v>
      </c>
      <c r="J19" s="90">
        <f t="shared" si="2"/>
        <v>0</v>
      </c>
      <c r="K19" s="90">
        <f t="shared" si="2"/>
        <v>0</v>
      </c>
      <c r="L19" s="90">
        <f t="shared" si="2"/>
        <v>0</v>
      </c>
      <c r="M19" s="90">
        <f t="shared" si="2"/>
        <v>0</v>
      </c>
      <c r="N19" s="90">
        <f t="shared" si="2"/>
        <v>0</v>
      </c>
      <c r="O19" s="90">
        <f t="shared" si="2"/>
        <v>0</v>
      </c>
      <c r="P19" s="90">
        <f t="shared" si="2"/>
        <v>0</v>
      </c>
      <c r="Q19" s="90">
        <f t="shared" si="2"/>
        <v>0</v>
      </c>
      <c r="R19" s="90">
        <f t="shared" si="2"/>
        <v>0</v>
      </c>
      <c r="S19" s="90">
        <f t="shared" si="2"/>
        <v>0</v>
      </c>
      <c r="T19" s="90">
        <f t="shared" si="2"/>
        <v>0</v>
      </c>
      <c r="U19" s="89"/>
      <c r="V19" s="89"/>
      <c r="W19" s="90">
        <f t="shared" ref="W19" si="3">SUM(W12:W18)</f>
        <v>0</v>
      </c>
      <c r="X19" s="89"/>
    </row>
    <row r="20" spans="1:24"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row>
    <row r="21" spans="1:24" ht="5.25" customHeight="1" x14ac:dyDescent="0.25"/>
    <row r="22" spans="1:24" x14ac:dyDescent="0.25">
      <c r="A22" s="22" t="str">
        <f>note</f>
        <v>Notes and Sources:</v>
      </c>
    </row>
    <row r="23" spans="1:24" ht="48" customHeight="1" x14ac:dyDescent="0.25">
      <c r="A23" s="85">
        <v>1</v>
      </c>
      <c r="B23" s="274" t="str">
        <f>"Unless otherwise stated, source of shaded cells is company input/records. Lines "&amp;A12&amp;" through "&amp;A18&amp;" represent adjustable lines that may be expanded/compressed on an annual basis to provide for a sufficient breakout of CWIP balances."</f>
        <v>Unless otherwise stated, source of shaded cells is company input/records. Lines 1a through 1zz represent adjustable lines that may be expanded/compressed on an annual basis to provide for a sufficient breakout of CWIP balances.</v>
      </c>
      <c r="C23" s="274"/>
      <c r="D23" s="274"/>
      <c r="E23" s="274"/>
      <c r="F23" s="274"/>
    </row>
    <row r="24" spans="1:24" ht="54" customHeight="1" x14ac:dyDescent="0.25">
      <c r="A24" s="223">
        <v>2</v>
      </c>
      <c r="B24" s="273" t="s">
        <v>1144</v>
      </c>
      <c r="C24" s="273"/>
      <c r="D24" s="273"/>
      <c r="E24" s="273"/>
      <c r="F24" s="273"/>
    </row>
    <row r="25" spans="1:24" ht="48" customHeight="1" x14ac:dyDescent="0.25">
      <c r="A25" s="85">
        <v>3</v>
      </c>
      <c r="B25" s="274" t="str">
        <f>"Percentages greater than 0% listed in column "&amp;D9&amp;" must be accompanied by a corresponding FERC docket number in column "&amp;C9&amp;", where rate base treatment was specifically directed or approved by the Commission pursuant to a §205, §206, or §219 filing."</f>
        <v>Percentages greater than 0% listed in column [c] must be accompanied by a corresponding FERC docket number in column [b], where rate base treatment was specifically directed or approved by the Commission pursuant to a §205, §206, or §219 filing.</v>
      </c>
      <c r="C25" s="274"/>
      <c r="D25" s="274"/>
      <c r="E25" s="274"/>
      <c r="F25" s="274"/>
    </row>
    <row r="26" spans="1:24" ht="34.5" customHeight="1" x14ac:dyDescent="0.25">
      <c r="A26" s="85">
        <v>4</v>
      </c>
      <c r="B26" s="274" t="str">
        <f>"Only network allocator codes listed on "&amp;'P12 (Allocation Factors)'!F1&amp;" may be inputed."</f>
        <v>Only network allocator codes listed on Worksheet P12 may be inputed.</v>
      </c>
      <c r="C26" s="274"/>
      <c r="D26" s="274"/>
      <c r="E26" s="274"/>
      <c r="F26" s="274"/>
    </row>
    <row r="27" spans="1:24" ht="5.25" customHeight="1" thickBot="1" x14ac:dyDescent="0.3">
      <c r="A27" s="24"/>
      <c r="B27" s="4"/>
      <c r="C27" s="4"/>
      <c r="D27" s="4"/>
      <c r="E27" s="4"/>
      <c r="F27" s="4"/>
      <c r="G27" s="4"/>
      <c r="H27" s="4"/>
      <c r="I27" s="4"/>
      <c r="J27" s="4"/>
      <c r="K27" s="4"/>
      <c r="L27" s="4"/>
      <c r="M27" s="4"/>
      <c r="N27" s="4"/>
      <c r="O27" s="4"/>
      <c r="P27" s="4"/>
      <c r="Q27" s="4"/>
      <c r="R27" s="4"/>
      <c r="S27" s="4"/>
      <c r="T27" s="4"/>
      <c r="U27" s="4"/>
      <c r="V27" s="4"/>
      <c r="W27" s="4"/>
      <c r="X27" s="4"/>
    </row>
    <row r="28" spans="1:24" ht="5.25" customHeight="1" thickTop="1" x14ac:dyDescent="0.25"/>
  </sheetData>
  <mergeCells count="16">
    <mergeCell ref="A7:A9"/>
    <mergeCell ref="B7:B8"/>
    <mergeCell ref="C7:C8"/>
    <mergeCell ref="D7:D8"/>
    <mergeCell ref="E7:E8"/>
    <mergeCell ref="N7:S7"/>
    <mergeCell ref="T7:T8"/>
    <mergeCell ref="U7:V7"/>
    <mergeCell ref="W7:W8"/>
    <mergeCell ref="X7:X8"/>
    <mergeCell ref="B23:F23"/>
    <mergeCell ref="B24:F24"/>
    <mergeCell ref="B25:F25"/>
    <mergeCell ref="B26:F26"/>
    <mergeCell ref="G7:M7"/>
    <mergeCell ref="F7:F8"/>
  </mergeCells>
  <pageMargins left="0.7" right="0.7" top="0.75" bottom="0.75" header="0.3" footer="0.3"/>
  <pageSetup scale="58" fitToWidth="3" orientation="landscape" horizontalDpi="1200" verticalDpi="1200" r:id="rId1"/>
  <headerFooter>
    <oddFooter>&amp;L&amp;6{W0327924.2 }</oddFooter>
  </headerFooter>
  <colBreaks count="2" manualBreakCount="2">
    <brk id="13" max="27" man="1"/>
    <brk id="20" max="27"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M146"/>
  <sheetViews>
    <sheetView workbookViewId="0"/>
  </sheetViews>
  <sheetFormatPr defaultRowHeight="15.75" x14ac:dyDescent="0.25"/>
  <cols>
    <col min="1" max="1" width="4.25" style="1" customWidth="1"/>
    <col min="2" max="2" width="37.125" customWidth="1"/>
    <col min="3" max="3" width="12.5" style="1" customWidth="1"/>
    <col min="4" max="4" width="7" customWidth="1"/>
    <col min="6" max="6" width="10.25" customWidth="1"/>
    <col min="8" max="9" width="0.75" customWidth="1"/>
    <col min="10" max="12" width="13.75" customWidth="1"/>
  </cols>
  <sheetData>
    <row r="1" spans="1:12" x14ac:dyDescent="0.25">
      <c r="A1" s="6" t="str">
        <f>epe</f>
        <v>El Paso Electric Company</v>
      </c>
      <c r="K1" s="8"/>
      <c r="L1" s="8" t="s">
        <v>915</v>
      </c>
    </row>
    <row r="2" spans="1:12" x14ac:dyDescent="0.25">
      <c r="A2" t="str">
        <f>frtp</f>
        <v>Formula Rate Template (Projected)</v>
      </c>
    </row>
    <row r="3" spans="1:12" x14ac:dyDescent="0.25">
      <c r="A3" t="s">
        <v>914</v>
      </c>
    </row>
    <row r="4" spans="1:12" x14ac:dyDescent="0.25">
      <c r="A4" t="str">
        <f>"12 Months Ended December 31, "&amp;YEAR('A1 (FF1 Inputs)'!$E$12)+2</f>
        <v>12 Months Ended December 31, 2022</v>
      </c>
    </row>
    <row r="5" spans="1:12" ht="5.25" customHeight="1" thickBot="1" x14ac:dyDescent="0.3">
      <c r="A5" s="4"/>
      <c r="B5" s="4"/>
      <c r="C5" s="4"/>
      <c r="D5" s="4"/>
      <c r="E5" s="4"/>
      <c r="F5" s="4"/>
      <c r="G5" s="4"/>
      <c r="H5" s="4"/>
      <c r="I5" s="4"/>
      <c r="J5" s="4"/>
      <c r="K5" s="4"/>
      <c r="L5" s="4"/>
    </row>
    <row r="6" spans="1:12" ht="5.25" customHeight="1" thickTop="1" x14ac:dyDescent="0.25">
      <c r="A6"/>
      <c r="C6"/>
    </row>
    <row r="7" spans="1:12" s="40" customFormat="1" ht="15.75" customHeight="1" x14ac:dyDescent="0.25">
      <c r="A7" s="266" t="str">
        <f>ln</f>
        <v>Line No.</v>
      </c>
      <c r="B7" s="278" t="s">
        <v>787</v>
      </c>
      <c r="D7" s="276" t="s">
        <v>794</v>
      </c>
      <c r="E7" s="276"/>
      <c r="F7" s="276"/>
      <c r="G7" s="276"/>
      <c r="J7" s="277" t="s">
        <v>918</v>
      </c>
      <c r="K7" s="277" t="s">
        <v>796</v>
      </c>
      <c r="L7" s="277" t="s">
        <v>920</v>
      </c>
    </row>
    <row r="8" spans="1:12" s="40" customFormat="1" ht="47.25" x14ac:dyDescent="0.25">
      <c r="A8" s="266"/>
      <c r="B8" s="278"/>
      <c r="D8" s="40" t="s">
        <v>789</v>
      </c>
      <c r="E8" s="40" t="s">
        <v>790</v>
      </c>
      <c r="F8" s="40" t="s">
        <v>791</v>
      </c>
      <c r="G8" s="40" t="s">
        <v>792</v>
      </c>
      <c r="J8" s="277"/>
      <c r="K8" s="277"/>
      <c r="L8" s="277"/>
    </row>
    <row r="9" spans="1:12" s="2" customFormat="1" x14ac:dyDescent="0.25">
      <c r="A9" s="266"/>
      <c r="B9" s="2" t="s">
        <v>7</v>
      </c>
      <c r="D9" s="2" t="s">
        <v>8</v>
      </c>
      <c r="E9" s="2" t="s">
        <v>9</v>
      </c>
      <c r="F9" s="2" t="s">
        <v>10</v>
      </c>
      <c r="G9" s="2" t="s">
        <v>795</v>
      </c>
      <c r="J9" s="2" t="s">
        <v>12</v>
      </c>
      <c r="K9" s="2" t="s">
        <v>919</v>
      </c>
      <c r="L9" s="148" t="s">
        <v>921</v>
      </c>
    </row>
    <row r="10" spans="1:12" ht="5.25" customHeight="1" x14ac:dyDescent="0.25">
      <c r="A10" s="5"/>
      <c r="B10" s="5"/>
      <c r="C10" s="5"/>
      <c r="D10" s="5"/>
      <c r="E10" s="5"/>
      <c r="F10" s="5"/>
      <c r="G10" s="5"/>
      <c r="H10" s="5"/>
      <c r="I10" s="5"/>
      <c r="J10" s="5"/>
      <c r="K10" s="5"/>
      <c r="L10" s="5"/>
    </row>
    <row r="11" spans="1:12" ht="5.25" customHeight="1" x14ac:dyDescent="0.25">
      <c r="A11"/>
      <c r="C11"/>
    </row>
    <row r="12" spans="1:12" x14ac:dyDescent="0.25">
      <c r="A12" s="89" t="s">
        <v>788</v>
      </c>
      <c r="B12" s="50"/>
      <c r="C12" s="49"/>
      <c r="D12" s="50"/>
      <c r="E12" s="50"/>
      <c r="F12" s="50"/>
      <c r="G12" s="50"/>
      <c r="H12" s="50"/>
      <c r="I12" s="50"/>
      <c r="J12" s="50"/>
      <c r="K12" s="50"/>
      <c r="L12" s="50"/>
    </row>
    <row r="13" spans="1:12" x14ac:dyDescent="0.25">
      <c r="A13" s="1">
        <v>1</v>
      </c>
      <c r="B13" s="112" t="str">
        <f>"Dec-"&amp;YEAR('A1 (FF1 Inputs)'!$E$12)+1&amp;" ("&amp;'A8 (ADIT Balances)'!$AF$1&amp;", Ln. "&amp;'A8 (ADIT Balances)'!A42&amp;", Col. [q])"</f>
        <v>Dec-2021 (Worksheet A8, Ln. 3, Col. [q])</v>
      </c>
      <c r="C13" s="130">
        <f>'A1 (FF1 Inputs)'!$E$13</f>
        <v>44562</v>
      </c>
      <c r="L13" s="10">
        <f>'P5 (ADIT Balances)'!R42</f>
        <v>4831584.6668953057</v>
      </c>
    </row>
    <row r="14" spans="1:12" x14ac:dyDescent="0.25">
      <c r="A14" s="1">
        <f>A13+1</f>
        <v>2</v>
      </c>
      <c r="B14" s="112" t="str">
        <f>"Jan-"&amp;YEAR('A1 (FF1 Inputs)'!$E$12)+2</f>
        <v>Jan-2022</v>
      </c>
      <c r="C14" s="130">
        <f>EOMONTH(C13,0)</f>
        <v>44592</v>
      </c>
      <c r="D14" s="1">
        <f>_xlfn.DAYS(C14,C13-1)</f>
        <v>31</v>
      </c>
      <c r="E14" s="1">
        <f t="shared" ref="E14:E23" si="0">D15+E15</f>
        <v>335</v>
      </c>
      <c r="F14" s="1">
        <f>SUM($D$14:$D$25)</f>
        <v>365</v>
      </c>
      <c r="G14" s="110">
        <f>E14/F14</f>
        <v>0.9178082191780822</v>
      </c>
      <c r="J14" s="41">
        <f t="array" ref="J14:J25">TRANSPOSE('P5 (ADIT Balances)'!S43:AD43)</f>
        <v>0</v>
      </c>
      <c r="K14" s="41">
        <f>G14*J14</f>
        <v>0</v>
      </c>
      <c r="L14" s="41">
        <f>L13+K14</f>
        <v>4831584.6668953057</v>
      </c>
    </row>
    <row r="15" spans="1:12" x14ac:dyDescent="0.25">
      <c r="A15" s="1">
        <f t="shared" ref="A15:A26" si="1">A14+1</f>
        <v>3</v>
      </c>
      <c r="B15" s="112" t="str">
        <f>"Feb-"&amp;YEAR('A1 (FF1 Inputs)'!$E$12)+2</f>
        <v>Feb-2022</v>
      </c>
      <c r="C15" s="130">
        <f>EOMONTH(C13,1)</f>
        <v>44620</v>
      </c>
      <c r="D15" s="1">
        <f>_xlfn.DAYS(C15,C14)</f>
        <v>28</v>
      </c>
      <c r="E15" s="1">
        <f t="shared" si="0"/>
        <v>307</v>
      </c>
      <c r="F15" s="1">
        <f t="shared" ref="F15:F25" si="2">SUM($D$14:$D$25)</f>
        <v>365</v>
      </c>
      <c r="G15" s="110">
        <f t="shared" ref="G15:G25" si="3">E15/F15</f>
        <v>0.84109589041095889</v>
      </c>
      <c r="J15" s="41">
        <v>0</v>
      </c>
      <c r="K15" s="41">
        <f t="shared" ref="K15:K25" si="4">G15*J15</f>
        <v>0</v>
      </c>
      <c r="L15" s="41">
        <f t="shared" ref="L15:L25" si="5">L14+K15</f>
        <v>4831584.6668953057</v>
      </c>
    </row>
    <row r="16" spans="1:12" x14ac:dyDescent="0.25">
      <c r="A16" s="1">
        <f t="shared" si="1"/>
        <v>4</v>
      </c>
      <c r="B16" s="112" t="str">
        <f>"Mar-"&amp;YEAR('A1 (FF1 Inputs)'!$E$12)+2</f>
        <v>Mar-2022</v>
      </c>
      <c r="C16" s="130">
        <f>EOMONTH(C13,2)</f>
        <v>44651</v>
      </c>
      <c r="D16" s="1">
        <f t="shared" ref="D16:D25" si="6">_xlfn.DAYS(C16,C15)</f>
        <v>31</v>
      </c>
      <c r="E16" s="1">
        <f t="shared" si="0"/>
        <v>276</v>
      </c>
      <c r="F16" s="1">
        <f t="shared" si="2"/>
        <v>365</v>
      </c>
      <c r="G16" s="110">
        <f t="shared" si="3"/>
        <v>0.75616438356164384</v>
      </c>
      <c r="J16" s="41">
        <v>0</v>
      </c>
      <c r="K16" s="41">
        <f t="shared" si="4"/>
        <v>0</v>
      </c>
      <c r="L16" s="41">
        <f t="shared" si="5"/>
        <v>4831584.6668953057</v>
      </c>
    </row>
    <row r="17" spans="1:12" x14ac:dyDescent="0.25">
      <c r="A17" s="1">
        <f t="shared" si="1"/>
        <v>5</v>
      </c>
      <c r="B17" s="112" t="str">
        <f>"Apr-"&amp;YEAR('A1 (FF1 Inputs)'!$E$12)+2</f>
        <v>Apr-2022</v>
      </c>
      <c r="C17" s="130">
        <f>EOMONTH(C13,3)</f>
        <v>44681</v>
      </c>
      <c r="D17" s="1">
        <f t="shared" si="6"/>
        <v>30</v>
      </c>
      <c r="E17" s="1">
        <f t="shared" si="0"/>
        <v>246</v>
      </c>
      <c r="F17" s="1">
        <f t="shared" si="2"/>
        <v>365</v>
      </c>
      <c r="G17" s="110">
        <f t="shared" si="3"/>
        <v>0.67397260273972603</v>
      </c>
      <c r="J17" s="41">
        <v>0</v>
      </c>
      <c r="K17" s="41">
        <f t="shared" si="4"/>
        <v>0</v>
      </c>
      <c r="L17" s="41">
        <f t="shared" si="5"/>
        <v>4831584.6668953057</v>
      </c>
    </row>
    <row r="18" spans="1:12" x14ac:dyDescent="0.25">
      <c r="A18" s="1">
        <f t="shared" si="1"/>
        <v>6</v>
      </c>
      <c r="B18" s="112" t="str">
        <f>"May-"&amp;YEAR('A1 (FF1 Inputs)'!$E$12)+2</f>
        <v>May-2022</v>
      </c>
      <c r="C18" s="130">
        <f>EOMONTH(C13,4)</f>
        <v>44712</v>
      </c>
      <c r="D18" s="1">
        <f t="shared" si="6"/>
        <v>31</v>
      </c>
      <c r="E18" s="1">
        <f t="shared" si="0"/>
        <v>215</v>
      </c>
      <c r="F18" s="1">
        <f t="shared" si="2"/>
        <v>365</v>
      </c>
      <c r="G18" s="110">
        <f t="shared" si="3"/>
        <v>0.58904109589041098</v>
      </c>
      <c r="J18" s="41">
        <v>0</v>
      </c>
      <c r="K18" s="41">
        <f t="shared" si="4"/>
        <v>0</v>
      </c>
      <c r="L18" s="41">
        <f t="shared" si="5"/>
        <v>4831584.6668953057</v>
      </c>
    </row>
    <row r="19" spans="1:12" x14ac:dyDescent="0.25">
      <c r="A19" s="1">
        <f t="shared" si="1"/>
        <v>7</v>
      </c>
      <c r="B19" s="112" t="str">
        <f>"Jun-"&amp;YEAR('A1 (FF1 Inputs)'!$E$12)+2</f>
        <v>Jun-2022</v>
      </c>
      <c r="C19" s="130">
        <f>EOMONTH(C13,5)</f>
        <v>44742</v>
      </c>
      <c r="D19" s="1">
        <f t="shared" si="6"/>
        <v>30</v>
      </c>
      <c r="E19" s="1">
        <f t="shared" si="0"/>
        <v>185</v>
      </c>
      <c r="F19" s="1">
        <f t="shared" si="2"/>
        <v>365</v>
      </c>
      <c r="G19" s="110">
        <f t="shared" si="3"/>
        <v>0.50684931506849318</v>
      </c>
      <c r="J19" s="41">
        <v>0</v>
      </c>
      <c r="K19" s="41">
        <f t="shared" si="4"/>
        <v>0</v>
      </c>
      <c r="L19" s="41">
        <f>L18+K19</f>
        <v>4831584.6668953057</v>
      </c>
    </row>
    <row r="20" spans="1:12" x14ac:dyDescent="0.25">
      <c r="A20" s="1">
        <f t="shared" si="1"/>
        <v>8</v>
      </c>
      <c r="B20" s="112" t="str">
        <f>"Jul-"&amp;YEAR('A1 (FF1 Inputs)'!$E$12)+2</f>
        <v>Jul-2022</v>
      </c>
      <c r="C20" s="130">
        <f>EOMONTH(C13,6)</f>
        <v>44773</v>
      </c>
      <c r="D20" s="1">
        <f t="shared" si="6"/>
        <v>31</v>
      </c>
      <c r="E20" s="1">
        <f t="shared" si="0"/>
        <v>154</v>
      </c>
      <c r="F20" s="1">
        <f t="shared" si="2"/>
        <v>365</v>
      </c>
      <c r="G20" s="110">
        <f t="shared" si="3"/>
        <v>0.42191780821917807</v>
      </c>
      <c r="J20" s="41">
        <v>0</v>
      </c>
      <c r="K20" s="41">
        <f t="shared" si="4"/>
        <v>0</v>
      </c>
      <c r="L20" s="41">
        <f t="shared" si="5"/>
        <v>4831584.6668953057</v>
      </c>
    </row>
    <row r="21" spans="1:12" x14ac:dyDescent="0.25">
      <c r="A21" s="1">
        <f t="shared" si="1"/>
        <v>9</v>
      </c>
      <c r="B21" s="112" t="str">
        <f>"Aug-"&amp;YEAR('A1 (FF1 Inputs)'!$E$12)+2</f>
        <v>Aug-2022</v>
      </c>
      <c r="C21" s="130">
        <f>EOMONTH(C13,7)</f>
        <v>44804</v>
      </c>
      <c r="D21" s="1">
        <f t="shared" si="6"/>
        <v>31</v>
      </c>
      <c r="E21" s="1">
        <f t="shared" si="0"/>
        <v>123</v>
      </c>
      <c r="F21" s="1">
        <f t="shared" si="2"/>
        <v>365</v>
      </c>
      <c r="G21" s="110">
        <f t="shared" si="3"/>
        <v>0.33698630136986302</v>
      </c>
      <c r="J21" s="41">
        <v>0</v>
      </c>
      <c r="K21" s="41">
        <f t="shared" si="4"/>
        <v>0</v>
      </c>
      <c r="L21" s="41">
        <f t="shared" si="5"/>
        <v>4831584.6668953057</v>
      </c>
    </row>
    <row r="22" spans="1:12" x14ac:dyDescent="0.25">
      <c r="A22" s="1">
        <f t="shared" si="1"/>
        <v>10</v>
      </c>
      <c r="B22" s="112" t="str">
        <f>"Sep-"&amp;YEAR('A1 (FF1 Inputs)'!$E$12)+2</f>
        <v>Sep-2022</v>
      </c>
      <c r="C22" s="130">
        <f>EOMONTH(C13,8)</f>
        <v>44834</v>
      </c>
      <c r="D22" s="1">
        <f t="shared" si="6"/>
        <v>30</v>
      </c>
      <c r="E22" s="1">
        <f t="shared" si="0"/>
        <v>93</v>
      </c>
      <c r="F22" s="1">
        <f t="shared" si="2"/>
        <v>365</v>
      </c>
      <c r="G22" s="110">
        <f t="shared" si="3"/>
        <v>0.25479452054794521</v>
      </c>
      <c r="J22" s="41">
        <v>0</v>
      </c>
      <c r="K22" s="41">
        <f t="shared" si="4"/>
        <v>0</v>
      </c>
      <c r="L22" s="41">
        <f t="shared" si="5"/>
        <v>4831584.6668953057</v>
      </c>
    </row>
    <row r="23" spans="1:12" x14ac:dyDescent="0.25">
      <c r="A23" s="1">
        <f t="shared" si="1"/>
        <v>11</v>
      </c>
      <c r="B23" s="112" t="str">
        <f>"Oct-"&amp;YEAR('A1 (FF1 Inputs)'!$E$12)+2</f>
        <v>Oct-2022</v>
      </c>
      <c r="C23" s="130">
        <f>EOMONTH(C13,9)</f>
        <v>44865</v>
      </c>
      <c r="D23" s="1">
        <f t="shared" si="6"/>
        <v>31</v>
      </c>
      <c r="E23" s="1">
        <f t="shared" si="0"/>
        <v>62</v>
      </c>
      <c r="F23" s="1">
        <f t="shared" si="2"/>
        <v>365</v>
      </c>
      <c r="G23" s="110">
        <f t="shared" si="3"/>
        <v>0.16986301369863013</v>
      </c>
      <c r="J23" s="41">
        <v>0</v>
      </c>
      <c r="K23" s="41">
        <f t="shared" si="4"/>
        <v>0</v>
      </c>
      <c r="L23" s="41">
        <f t="shared" si="5"/>
        <v>4831584.6668953057</v>
      </c>
    </row>
    <row r="24" spans="1:12" x14ac:dyDescent="0.25">
      <c r="A24" s="1">
        <f t="shared" si="1"/>
        <v>12</v>
      </c>
      <c r="B24" s="112" t="str">
        <f>"Nov-"&amp;YEAR('A1 (FF1 Inputs)'!$E$12)+2</f>
        <v>Nov-2022</v>
      </c>
      <c r="C24" s="130">
        <f>EOMONTH(C13,10)</f>
        <v>44895</v>
      </c>
      <c r="D24" s="1">
        <f t="shared" si="6"/>
        <v>30</v>
      </c>
      <c r="E24" s="1">
        <f>D25+E25</f>
        <v>32</v>
      </c>
      <c r="F24" s="1">
        <f t="shared" si="2"/>
        <v>365</v>
      </c>
      <c r="G24" s="110">
        <f t="shared" si="3"/>
        <v>8.7671232876712329E-2</v>
      </c>
      <c r="J24" s="41">
        <v>0</v>
      </c>
      <c r="K24" s="41">
        <f t="shared" si="4"/>
        <v>0</v>
      </c>
      <c r="L24" s="41">
        <f t="shared" si="5"/>
        <v>4831584.6668953057</v>
      </c>
    </row>
    <row r="25" spans="1:12" x14ac:dyDescent="0.25">
      <c r="A25" s="1">
        <f t="shared" si="1"/>
        <v>13</v>
      </c>
      <c r="B25" s="112" t="str">
        <f>"Dec-"&amp;YEAR('A1 (FF1 Inputs)'!$E$12)+2</f>
        <v>Dec-2022</v>
      </c>
      <c r="C25" s="130">
        <f>EOMONTH(C13,11)</f>
        <v>44926</v>
      </c>
      <c r="D25" s="1">
        <f t="shared" si="6"/>
        <v>31</v>
      </c>
      <c r="E25" s="1">
        <v>1</v>
      </c>
      <c r="F25" s="1">
        <f t="shared" si="2"/>
        <v>365</v>
      </c>
      <c r="G25" s="110">
        <f t="shared" si="3"/>
        <v>2.7397260273972603E-3</v>
      </c>
      <c r="J25" s="41">
        <v>0</v>
      </c>
      <c r="K25" s="41">
        <f t="shared" si="4"/>
        <v>0</v>
      </c>
      <c r="L25" s="41">
        <f t="shared" si="5"/>
        <v>4831584.6668953057</v>
      </c>
    </row>
    <row r="26" spans="1:12" s="6" customFormat="1" x14ac:dyDescent="0.25">
      <c r="A26" s="88">
        <f t="shared" si="1"/>
        <v>14</v>
      </c>
      <c r="B26" s="89" t="str">
        <f>"Total (Sum Lns. ("&amp;A13&amp;" through "&amp;A25&amp;"))"</f>
        <v>Total (Sum Lns. (1 through 13))</v>
      </c>
      <c r="C26" s="88"/>
      <c r="D26" s="89"/>
      <c r="E26" s="89"/>
      <c r="F26" s="89"/>
      <c r="G26" s="89"/>
      <c r="H26" s="89"/>
      <c r="I26" s="89"/>
      <c r="J26" s="90">
        <f>SUM(J14:J25)</f>
        <v>0</v>
      </c>
      <c r="K26" s="90">
        <f>SUM(K14:K25)</f>
        <v>0</v>
      </c>
      <c r="L26" s="90"/>
    </row>
    <row r="28" spans="1:12" x14ac:dyDescent="0.25">
      <c r="B28" s="132" t="s">
        <v>776</v>
      </c>
    </row>
    <row r="29" spans="1:12" x14ac:dyDescent="0.25">
      <c r="A29" s="1">
        <f>A26+1</f>
        <v>15</v>
      </c>
      <c r="B29" s="127" t="str">
        <f>"Beginning of Year Balance ("&amp;'P5 (ADIT Balances)'!$AF$1&amp;", Ln. "&amp;'P5 (ADIT Balances)'!$A$44&amp;", Col. [q])"</f>
        <v>Beginning of Year Balance (Worksheet P5, Ln. 4, Col. [q])</v>
      </c>
      <c r="L29" s="10">
        <f>'P5 (ADIT Balances)'!R44</f>
        <v>3608227.201278707</v>
      </c>
    </row>
    <row r="30" spans="1:12" x14ac:dyDescent="0.25">
      <c r="A30" s="1">
        <f>A29+1</f>
        <v>16</v>
      </c>
      <c r="B30" s="127" t="str">
        <f>"End of Year Balance ("&amp;'P5 (ADIT Balances)'!$AF$1&amp;", Ln. "&amp;'P5 (ADIT Balances)'!$A$44&amp;", Col. [cc])"</f>
        <v>End of Year Balance (Worksheet P5, Ln. 4, Col. [cc])</v>
      </c>
      <c r="L30" s="64">
        <f>'P5 (ADIT Balances)'!AD44</f>
        <v>3608227.201278707</v>
      </c>
    </row>
    <row r="31" spans="1:12" x14ac:dyDescent="0.25">
      <c r="A31" s="1">
        <f t="shared" ref="A31" si="7">A30+1</f>
        <v>17</v>
      </c>
      <c r="B31" s="127" t="str">
        <f>"Average of Beginning of Year and End of Year Balances (Average Lns. "&amp;A29&amp;" and "&amp;A30&amp;")"</f>
        <v>Average of Beginning of Year and End of Year Balances (Average Lns. 15 and 16)</v>
      </c>
      <c r="L31" s="10">
        <f>AVERAGE(L29,L30)</f>
        <v>3608227.201278707</v>
      </c>
    </row>
    <row r="32" spans="1:12" x14ac:dyDescent="0.25">
      <c r="B32" s="132"/>
    </row>
    <row r="33" spans="1:12" x14ac:dyDescent="0.25">
      <c r="A33" s="1">
        <f>A31+1</f>
        <v>18</v>
      </c>
      <c r="B33" s="127" t="str">
        <f>"Total Account No. 190 - Prorated Balance at End of Year (Ln. "&amp;A25&amp;", Col. [h])"</f>
        <v>Total Account No. 190 - Prorated Balance at End of Year (Ln. 13, Col. [h])</v>
      </c>
      <c r="L33" s="10">
        <f>L25</f>
        <v>4831584.6668953057</v>
      </c>
    </row>
    <row r="34" spans="1:12" x14ac:dyDescent="0.25">
      <c r="B34" s="127"/>
    </row>
    <row r="35" spans="1:12" ht="16.5" thickBot="1" x14ac:dyDescent="0.3">
      <c r="A35" s="1">
        <f>A33+1</f>
        <v>19</v>
      </c>
      <c r="B35" s="127" t="str">
        <f>"Total Average Account No. 190 Balance (Lns. ("&amp;A31&amp;" + "&amp;A33&amp;"))"</f>
        <v>Total Average Account No. 190 Balance (Lns. (17 + 18))</v>
      </c>
      <c r="L35" s="133">
        <f>L31+L33</f>
        <v>8439811.8681740128</v>
      </c>
    </row>
    <row r="37" spans="1:12" x14ac:dyDescent="0.25">
      <c r="A37" s="89" t="s">
        <v>799</v>
      </c>
      <c r="B37" s="50"/>
      <c r="C37" s="49"/>
      <c r="D37" s="50"/>
      <c r="E37" s="50"/>
      <c r="F37" s="50"/>
      <c r="G37" s="50"/>
      <c r="H37" s="50"/>
      <c r="I37" s="50"/>
      <c r="J37" s="50"/>
      <c r="K37" s="50"/>
      <c r="L37" s="50"/>
    </row>
    <row r="38" spans="1:12" x14ac:dyDescent="0.25">
      <c r="A38" s="1">
        <f>A35+1</f>
        <v>20</v>
      </c>
      <c r="B38" s="112" t="str">
        <f>"Dec-"&amp;YEAR('A1 (FF1 Inputs)'!$E$12)+2&amp;" ("&amp;'P5 (ADIT Balances)'!$AF$1&amp;", Ln. "&amp;'P5 (ADIT Balances)'!A59&amp;", Col. [q])"</f>
        <v>Dec-2022 (Worksheet P5, Ln. 7, Col. [q])</v>
      </c>
      <c r="C38" s="130">
        <f>'A1 (FF1 Inputs)'!$E$13</f>
        <v>44562</v>
      </c>
      <c r="L38" s="10">
        <f>'P5 (ADIT Balances)'!R59</f>
        <v>-62264764.896305889</v>
      </c>
    </row>
    <row r="39" spans="1:12" x14ac:dyDescent="0.25">
      <c r="A39" s="1">
        <f>A38+1</f>
        <v>21</v>
      </c>
      <c r="B39" s="112" t="str">
        <f>"Jan-"&amp;YEAR('A1 (FF1 Inputs)'!$E$12)+2</f>
        <v>Jan-2022</v>
      </c>
      <c r="C39" s="130">
        <f>EOMONTH(C38,0)</f>
        <v>44592</v>
      </c>
      <c r="D39" s="1">
        <f>_xlfn.DAYS(C39,C38-1)</f>
        <v>31</v>
      </c>
      <c r="E39" s="1">
        <f t="shared" ref="E39:E48" si="8">D40+E40</f>
        <v>335</v>
      </c>
      <c r="F39" s="1">
        <f>SUM($D$14:$D$25)</f>
        <v>365</v>
      </c>
      <c r="G39" s="110">
        <f>E39/F39</f>
        <v>0.9178082191780822</v>
      </c>
      <c r="J39" s="41">
        <f t="array" ref="J39:J50">TRANSPOSE('P5 (ADIT Balances)'!S60:AD60)</f>
        <v>0</v>
      </c>
      <c r="K39" s="41">
        <f>G39*J39</f>
        <v>0</v>
      </c>
      <c r="L39" s="41">
        <f>L38+K39</f>
        <v>-62264764.896305889</v>
      </c>
    </row>
    <row r="40" spans="1:12" x14ac:dyDescent="0.25">
      <c r="A40" s="1">
        <f t="shared" ref="A40:A51" si="9">A39+1</f>
        <v>22</v>
      </c>
      <c r="B40" s="112" t="str">
        <f>"Feb-"&amp;YEAR('A1 (FF1 Inputs)'!$E$12)+2</f>
        <v>Feb-2022</v>
      </c>
      <c r="C40" s="130">
        <f>EOMONTH(C38,1)</f>
        <v>44620</v>
      </c>
      <c r="D40" s="1">
        <f>_xlfn.DAYS(C40,C39)</f>
        <v>28</v>
      </c>
      <c r="E40" s="1">
        <f t="shared" si="8"/>
        <v>307</v>
      </c>
      <c r="F40" s="1">
        <f t="shared" ref="F40:F50" si="10">SUM($D$14:$D$25)</f>
        <v>365</v>
      </c>
      <c r="G40" s="110">
        <f t="shared" ref="G40:G50" si="11">E40/F40</f>
        <v>0.84109589041095889</v>
      </c>
      <c r="J40" s="41">
        <v>0</v>
      </c>
      <c r="K40" s="41">
        <f t="shared" ref="K40:K50" si="12">G40*J40</f>
        <v>0</v>
      </c>
      <c r="L40" s="41">
        <f t="shared" ref="L40:L43" si="13">L39+K40</f>
        <v>-62264764.896305889</v>
      </c>
    </row>
    <row r="41" spans="1:12" x14ac:dyDescent="0.25">
      <c r="A41" s="1">
        <f t="shared" si="9"/>
        <v>23</v>
      </c>
      <c r="B41" s="112" t="str">
        <f>"Mar-"&amp;YEAR('A1 (FF1 Inputs)'!$E$12)+2</f>
        <v>Mar-2022</v>
      </c>
      <c r="C41" s="130">
        <f>EOMONTH(C38,2)</f>
        <v>44651</v>
      </c>
      <c r="D41" s="1">
        <f t="shared" ref="D41:D50" si="14">_xlfn.DAYS(C41,C40)</f>
        <v>31</v>
      </c>
      <c r="E41" s="1">
        <f t="shared" si="8"/>
        <v>276</v>
      </c>
      <c r="F41" s="1">
        <f t="shared" si="10"/>
        <v>365</v>
      </c>
      <c r="G41" s="110">
        <f t="shared" si="11"/>
        <v>0.75616438356164384</v>
      </c>
      <c r="J41" s="41">
        <v>0</v>
      </c>
      <c r="K41" s="41">
        <f t="shared" si="12"/>
        <v>0</v>
      </c>
      <c r="L41" s="41">
        <f t="shared" si="13"/>
        <v>-62264764.896305889</v>
      </c>
    </row>
    <row r="42" spans="1:12" x14ac:dyDescent="0.25">
      <c r="A42" s="1">
        <f t="shared" si="9"/>
        <v>24</v>
      </c>
      <c r="B42" s="112" t="str">
        <f>"Apr-"&amp;YEAR('A1 (FF1 Inputs)'!$E$12)+2</f>
        <v>Apr-2022</v>
      </c>
      <c r="C42" s="130">
        <f>EOMONTH(C38,3)</f>
        <v>44681</v>
      </c>
      <c r="D42" s="1">
        <f t="shared" si="14"/>
        <v>30</v>
      </c>
      <c r="E42" s="1">
        <f t="shared" si="8"/>
        <v>246</v>
      </c>
      <c r="F42" s="1">
        <f t="shared" si="10"/>
        <v>365</v>
      </c>
      <c r="G42" s="110">
        <f t="shared" si="11"/>
        <v>0.67397260273972603</v>
      </c>
      <c r="J42" s="41">
        <v>0</v>
      </c>
      <c r="K42" s="41">
        <f t="shared" si="12"/>
        <v>0</v>
      </c>
      <c r="L42" s="41">
        <f t="shared" si="13"/>
        <v>-62264764.896305889</v>
      </c>
    </row>
    <row r="43" spans="1:12" x14ac:dyDescent="0.25">
      <c r="A43" s="1">
        <f t="shared" si="9"/>
        <v>25</v>
      </c>
      <c r="B43" s="112" t="str">
        <f>"May-"&amp;YEAR('A1 (FF1 Inputs)'!$E$12)+2</f>
        <v>May-2022</v>
      </c>
      <c r="C43" s="130">
        <f>EOMONTH(C38,4)</f>
        <v>44712</v>
      </c>
      <c r="D43" s="1">
        <f t="shared" si="14"/>
        <v>31</v>
      </c>
      <c r="E43" s="1">
        <f t="shared" si="8"/>
        <v>215</v>
      </c>
      <c r="F43" s="1">
        <f t="shared" si="10"/>
        <v>365</v>
      </c>
      <c r="G43" s="110">
        <f t="shared" si="11"/>
        <v>0.58904109589041098</v>
      </c>
      <c r="J43" s="41">
        <v>0</v>
      </c>
      <c r="K43" s="41">
        <f t="shared" si="12"/>
        <v>0</v>
      </c>
      <c r="L43" s="41">
        <f t="shared" si="13"/>
        <v>-62264764.896305889</v>
      </c>
    </row>
    <row r="44" spans="1:12" x14ac:dyDescent="0.25">
      <c r="A44" s="1">
        <f t="shared" si="9"/>
        <v>26</v>
      </c>
      <c r="B44" s="112" t="str">
        <f>"Jun-"&amp;YEAR('A1 (FF1 Inputs)'!$E$12)+2</f>
        <v>Jun-2022</v>
      </c>
      <c r="C44" s="130">
        <f>EOMONTH(C38,5)</f>
        <v>44742</v>
      </c>
      <c r="D44" s="1">
        <f t="shared" si="14"/>
        <v>30</v>
      </c>
      <c r="E44" s="1">
        <f t="shared" si="8"/>
        <v>185</v>
      </c>
      <c r="F44" s="1">
        <f t="shared" si="10"/>
        <v>365</v>
      </c>
      <c r="G44" s="110">
        <f t="shared" si="11"/>
        <v>0.50684931506849318</v>
      </c>
      <c r="J44" s="41">
        <v>0</v>
      </c>
      <c r="K44" s="41">
        <f t="shared" si="12"/>
        <v>0</v>
      </c>
      <c r="L44" s="41">
        <f>L43+K44</f>
        <v>-62264764.896305889</v>
      </c>
    </row>
    <row r="45" spans="1:12" x14ac:dyDescent="0.25">
      <c r="A45" s="1">
        <f t="shared" si="9"/>
        <v>27</v>
      </c>
      <c r="B45" s="112" t="str">
        <f>"Jul-"&amp;YEAR('A1 (FF1 Inputs)'!$E$12)+2</f>
        <v>Jul-2022</v>
      </c>
      <c r="C45" s="130">
        <f>EOMONTH(C38,6)</f>
        <v>44773</v>
      </c>
      <c r="D45" s="1">
        <f t="shared" si="14"/>
        <v>31</v>
      </c>
      <c r="E45" s="1">
        <f t="shared" si="8"/>
        <v>154</v>
      </c>
      <c r="F45" s="1">
        <f t="shared" si="10"/>
        <v>365</v>
      </c>
      <c r="G45" s="110">
        <f t="shared" si="11"/>
        <v>0.42191780821917807</v>
      </c>
      <c r="J45" s="41">
        <v>0</v>
      </c>
      <c r="K45" s="41">
        <f t="shared" si="12"/>
        <v>0</v>
      </c>
      <c r="L45" s="41">
        <f t="shared" ref="L45:L50" si="15">L44+K45</f>
        <v>-62264764.896305889</v>
      </c>
    </row>
    <row r="46" spans="1:12" x14ac:dyDescent="0.25">
      <c r="A46" s="1">
        <f t="shared" si="9"/>
        <v>28</v>
      </c>
      <c r="B46" s="112" t="str">
        <f>"Aug-"&amp;YEAR('A1 (FF1 Inputs)'!$E$12)+2</f>
        <v>Aug-2022</v>
      </c>
      <c r="C46" s="130">
        <f>EOMONTH(C38,7)</f>
        <v>44804</v>
      </c>
      <c r="D46" s="1">
        <f t="shared" si="14"/>
        <v>31</v>
      </c>
      <c r="E46" s="1">
        <f t="shared" si="8"/>
        <v>123</v>
      </c>
      <c r="F46" s="1">
        <f t="shared" si="10"/>
        <v>365</v>
      </c>
      <c r="G46" s="110">
        <f t="shared" si="11"/>
        <v>0.33698630136986302</v>
      </c>
      <c r="J46" s="41">
        <v>0</v>
      </c>
      <c r="K46" s="41">
        <f t="shared" si="12"/>
        <v>0</v>
      </c>
      <c r="L46" s="41">
        <f t="shared" si="15"/>
        <v>-62264764.896305889</v>
      </c>
    </row>
    <row r="47" spans="1:12" x14ac:dyDescent="0.25">
      <c r="A47" s="1">
        <f t="shared" si="9"/>
        <v>29</v>
      </c>
      <c r="B47" s="112" t="str">
        <f>"Sep-"&amp;YEAR('A1 (FF1 Inputs)'!$E$12)+2</f>
        <v>Sep-2022</v>
      </c>
      <c r="C47" s="130">
        <f>EOMONTH(C38,8)</f>
        <v>44834</v>
      </c>
      <c r="D47" s="1">
        <f t="shared" si="14"/>
        <v>30</v>
      </c>
      <c r="E47" s="1">
        <f t="shared" si="8"/>
        <v>93</v>
      </c>
      <c r="F47" s="1">
        <f t="shared" si="10"/>
        <v>365</v>
      </c>
      <c r="G47" s="110">
        <f t="shared" si="11"/>
        <v>0.25479452054794521</v>
      </c>
      <c r="J47" s="41">
        <v>0</v>
      </c>
      <c r="K47" s="41">
        <f t="shared" si="12"/>
        <v>0</v>
      </c>
      <c r="L47" s="41">
        <f t="shared" si="15"/>
        <v>-62264764.896305889</v>
      </c>
    </row>
    <row r="48" spans="1:12" x14ac:dyDescent="0.25">
      <c r="A48" s="1">
        <f t="shared" si="9"/>
        <v>30</v>
      </c>
      <c r="B48" s="112" t="str">
        <f>"Oct-"&amp;YEAR('A1 (FF1 Inputs)'!$E$12)+2</f>
        <v>Oct-2022</v>
      </c>
      <c r="C48" s="130">
        <f>EOMONTH(C38,9)</f>
        <v>44865</v>
      </c>
      <c r="D48" s="1">
        <f t="shared" si="14"/>
        <v>31</v>
      </c>
      <c r="E48" s="1">
        <f t="shared" si="8"/>
        <v>62</v>
      </c>
      <c r="F48" s="1">
        <f t="shared" si="10"/>
        <v>365</v>
      </c>
      <c r="G48" s="110">
        <f t="shared" si="11"/>
        <v>0.16986301369863013</v>
      </c>
      <c r="J48" s="41">
        <v>0</v>
      </c>
      <c r="K48" s="41">
        <f t="shared" si="12"/>
        <v>0</v>
      </c>
      <c r="L48" s="41">
        <f t="shared" si="15"/>
        <v>-62264764.896305889</v>
      </c>
    </row>
    <row r="49" spans="1:12" x14ac:dyDescent="0.25">
      <c r="A49" s="1">
        <f t="shared" si="9"/>
        <v>31</v>
      </c>
      <c r="B49" s="112" t="str">
        <f>"Nov-"&amp;YEAR('A1 (FF1 Inputs)'!$E$12)+2</f>
        <v>Nov-2022</v>
      </c>
      <c r="C49" s="130">
        <f>EOMONTH(C38,10)</f>
        <v>44895</v>
      </c>
      <c r="D49" s="1">
        <f t="shared" si="14"/>
        <v>30</v>
      </c>
      <c r="E49" s="1">
        <f>D50+E50</f>
        <v>32</v>
      </c>
      <c r="F49" s="1">
        <f t="shared" si="10"/>
        <v>365</v>
      </c>
      <c r="G49" s="110">
        <f t="shared" si="11"/>
        <v>8.7671232876712329E-2</v>
      </c>
      <c r="J49" s="41">
        <v>0</v>
      </c>
      <c r="K49" s="41">
        <f t="shared" si="12"/>
        <v>0</v>
      </c>
      <c r="L49" s="41">
        <f t="shared" si="15"/>
        <v>-62264764.896305889</v>
      </c>
    </row>
    <row r="50" spans="1:12" x14ac:dyDescent="0.25">
      <c r="A50" s="1">
        <f t="shared" si="9"/>
        <v>32</v>
      </c>
      <c r="B50" s="112" t="str">
        <f>"Dec-"&amp;YEAR('A1 (FF1 Inputs)'!$E$12)+2</f>
        <v>Dec-2022</v>
      </c>
      <c r="C50" s="130">
        <f>EOMONTH(C38,11)</f>
        <v>44926</v>
      </c>
      <c r="D50" s="1">
        <f t="shared" si="14"/>
        <v>31</v>
      </c>
      <c r="E50" s="1">
        <v>1</v>
      </c>
      <c r="F50" s="1">
        <f t="shared" si="10"/>
        <v>365</v>
      </c>
      <c r="G50" s="110">
        <f t="shared" si="11"/>
        <v>2.7397260273972603E-3</v>
      </c>
      <c r="J50" s="41">
        <v>0</v>
      </c>
      <c r="K50" s="41">
        <f t="shared" si="12"/>
        <v>0</v>
      </c>
      <c r="L50" s="41">
        <f t="shared" si="15"/>
        <v>-62264764.896305889</v>
      </c>
    </row>
    <row r="51" spans="1:12" x14ac:dyDescent="0.25">
      <c r="A51" s="88">
        <f t="shared" si="9"/>
        <v>33</v>
      </c>
      <c r="B51" s="89" t="str">
        <f>"Total (Sum Lns. ("&amp;A38&amp;" through "&amp;A50&amp;"))"</f>
        <v>Total (Sum Lns. (20 through 32))</v>
      </c>
      <c r="C51" s="88"/>
      <c r="D51" s="89"/>
      <c r="E51" s="89"/>
      <c r="F51" s="89"/>
      <c r="G51" s="89"/>
      <c r="H51" s="89"/>
      <c r="I51" s="89"/>
      <c r="J51" s="90">
        <f>SUM(J39:J50)</f>
        <v>0</v>
      </c>
      <c r="K51" s="90">
        <f>SUM(K39:K50)</f>
        <v>0</v>
      </c>
      <c r="L51" s="90"/>
    </row>
    <row r="53" spans="1:12" x14ac:dyDescent="0.25">
      <c r="B53" s="132" t="s">
        <v>778</v>
      </c>
    </row>
    <row r="54" spans="1:12" x14ac:dyDescent="0.25">
      <c r="A54" s="1">
        <f>A51+1</f>
        <v>34</v>
      </c>
      <c r="B54" s="127" t="str">
        <f>"Beginning of Year Balance ("&amp;'P5 (ADIT Balances)'!$AF$1&amp;", Ln. "&amp;'P5 (ADIT Balances)'!$A$61&amp;", Col. [q])"</f>
        <v>Beginning of Year Balance (Worksheet P5, Ln. 8, Col. [q])</v>
      </c>
      <c r="L54" s="10">
        <f>'P5 (ADIT Balances)'!R61</f>
        <v>0</v>
      </c>
    </row>
    <row r="55" spans="1:12" x14ac:dyDescent="0.25">
      <c r="A55" s="1">
        <f>A54+1</f>
        <v>35</v>
      </c>
      <c r="B55" s="127" t="str">
        <f>"End of Year Balance ("&amp;'P5 (ADIT Balances)'!$AF$1&amp;", Ln. "&amp;'P5 (ADIT Balances)'!$A$61&amp;", Col. [cc])"</f>
        <v>End of Year Balance (Worksheet P5, Ln. 8, Col. [cc])</v>
      </c>
      <c r="L55" s="64">
        <f>'P5 (ADIT Balances)'!AD61</f>
        <v>0</v>
      </c>
    </row>
    <row r="56" spans="1:12" x14ac:dyDescent="0.25">
      <c r="A56" s="1">
        <f t="shared" ref="A56" si="16">A55+1</f>
        <v>36</v>
      </c>
      <c r="B56" s="127" t="str">
        <f>"Average of Beginning of Year and End of Year Balances (Average Lns. "&amp;A54&amp;" and "&amp;A55&amp;")"</f>
        <v>Average of Beginning of Year and End of Year Balances (Average Lns. 34 and 35)</v>
      </c>
      <c r="L56" s="10">
        <f>AVERAGE(L54,L55)</f>
        <v>0</v>
      </c>
    </row>
    <row r="57" spans="1:12" x14ac:dyDescent="0.25">
      <c r="B57" s="132"/>
    </row>
    <row r="58" spans="1:12" x14ac:dyDescent="0.25">
      <c r="A58" s="1">
        <f>A56+1</f>
        <v>37</v>
      </c>
      <c r="B58" s="127" t="str">
        <f>"Total Account No. 282 - Prorated Balance at End of Year (Ln. "&amp;A50&amp;", Col. [h])"</f>
        <v>Total Account No. 282 - Prorated Balance at End of Year (Ln. 32, Col. [h])</v>
      </c>
      <c r="L58" s="10">
        <f>L50</f>
        <v>-62264764.896305889</v>
      </c>
    </row>
    <row r="59" spans="1:12" x14ac:dyDescent="0.25">
      <c r="B59" s="127"/>
    </row>
    <row r="60" spans="1:12" ht="16.5" thickBot="1" x14ac:dyDescent="0.3">
      <c r="A60" s="1">
        <f>A58+1</f>
        <v>38</v>
      </c>
      <c r="B60" s="127" t="str">
        <f>"Total Average Account No. 282 Balance (Lns. ("&amp;A56&amp;" + "&amp;A58&amp;"))"</f>
        <v>Total Average Account No. 282 Balance (Lns. (36 + 37))</v>
      </c>
      <c r="L60" s="133">
        <f>L56+L58</f>
        <v>-62264764.896305889</v>
      </c>
    </row>
    <row r="62" spans="1:12" x14ac:dyDescent="0.25">
      <c r="A62" s="89" t="s">
        <v>800</v>
      </c>
      <c r="B62" s="50"/>
      <c r="C62" s="49"/>
      <c r="D62" s="50"/>
      <c r="E62" s="50"/>
      <c r="F62" s="50"/>
      <c r="G62" s="50"/>
      <c r="H62" s="50"/>
      <c r="I62" s="50"/>
      <c r="J62" s="50"/>
      <c r="K62" s="50"/>
      <c r="L62" s="50"/>
    </row>
    <row r="63" spans="1:12" x14ac:dyDescent="0.25">
      <c r="A63" s="1">
        <f>A60+1</f>
        <v>39</v>
      </c>
      <c r="B63" s="112" t="str">
        <f>"Dec-"&amp;YEAR('A1 (FF1 Inputs)'!$E$12)+2&amp;" ("&amp;'P5 (ADIT Balances)'!$AF$1&amp;", Ln. "&amp;'P5 (ADIT Balances)'!A79&amp;", Col. [q])"</f>
        <v>Dec-2022 (Worksheet P5, Ln. 11, Col. [q])</v>
      </c>
      <c r="C63" s="130">
        <f>'A1 (FF1 Inputs)'!$E$13</f>
        <v>44562</v>
      </c>
      <c r="L63" s="10">
        <f>'P5 (ADIT Balances)'!R79</f>
        <v>-394072.09207513405</v>
      </c>
    </row>
    <row r="64" spans="1:12" x14ac:dyDescent="0.25">
      <c r="A64" s="1">
        <f>A63+1</f>
        <v>40</v>
      </c>
      <c r="B64" s="112" t="str">
        <f>"Jan-"&amp;YEAR('A1 (FF1 Inputs)'!$E$12)+2</f>
        <v>Jan-2022</v>
      </c>
      <c r="C64" s="130">
        <f>EOMONTH(C63,0)</f>
        <v>44592</v>
      </c>
      <c r="D64" s="1">
        <f>_xlfn.DAYS(C64,C63-1)</f>
        <v>31</v>
      </c>
      <c r="E64" s="1">
        <f t="shared" ref="E64:E73" si="17">D65+E65</f>
        <v>335</v>
      </c>
      <c r="F64" s="1">
        <f>SUM($D$14:$D$25)</f>
        <v>365</v>
      </c>
      <c r="G64" s="110">
        <f>E64/F64</f>
        <v>0.9178082191780822</v>
      </c>
      <c r="J64" s="41">
        <f t="array" ref="J64:J75">TRANSPOSE('P5 (ADIT Balances)'!S80:AD80)</f>
        <v>0</v>
      </c>
      <c r="K64" s="41">
        <f>G64*J64</f>
        <v>0</v>
      </c>
      <c r="L64" s="41">
        <f>L63+K64</f>
        <v>-394072.09207513405</v>
      </c>
    </row>
    <row r="65" spans="1:12" x14ac:dyDescent="0.25">
      <c r="A65" s="1">
        <f t="shared" ref="A65:A76" si="18">A64+1</f>
        <v>41</v>
      </c>
      <c r="B65" s="112" t="str">
        <f>"Feb-"&amp;YEAR('A1 (FF1 Inputs)'!$E$12)+2</f>
        <v>Feb-2022</v>
      </c>
      <c r="C65" s="130">
        <f>EOMONTH(C63,1)</f>
        <v>44620</v>
      </c>
      <c r="D65" s="1">
        <f>_xlfn.DAYS(C65,C64)</f>
        <v>28</v>
      </c>
      <c r="E65" s="1">
        <f t="shared" si="17"/>
        <v>307</v>
      </c>
      <c r="F65" s="1">
        <f t="shared" ref="F65:F75" si="19">SUM($D$14:$D$25)</f>
        <v>365</v>
      </c>
      <c r="G65" s="110">
        <f t="shared" ref="G65:G75" si="20">E65/F65</f>
        <v>0.84109589041095889</v>
      </c>
      <c r="J65" s="41">
        <v>0</v>
      </c>
      <c r="K65" s="41">
        <f t="shared" ref="K65:K75" si="21">G65*J65</f>
        <v>0</v>
      </c>
      <c r="L65" s="41">
        <f t="shared" ref="L65:L68" si="22">L64+K65</f>
        <v>-394072.09207513405</v>
      </c>
    </row>
    <row r="66" spans="1:12" x14ac:dyDescent="0.25">
      <c r="A66" s="1">
        <f t="shared" si="18"/>
        <v>42</v>
      </c>
      <c r="B66" s="112" t="str">
        <f>"Mar-"&amp;YEAR('A1 (FF1 Inputs)'!$E$12)+2</f>
        <v>Mar-2022</v>
      </c>
      <c r="C66" s="130">
        <f>EOMONTH(C63,2)</f>
        <v>44651</v>
      </c>
      <c r="D66" s="1">
        <f t="shared" ref="D66:D75" si="23">_xlfn.DAYS(C66,C65)</f>
        <v>31</v>
      </c>
      <c r="E66" s="1">
        <f t="shared" si="17"/>
        <v>276</v>
      </c>
      <c r="F66" s="1">
        <f t="shared" si="19"/>
        <v>365</v>
      </c>
      <c r="G66" s="110">
        <f t="shared" si="20"/>
        <v>0.75616438356164384</v>
      </c>
      <c r="J66" s="41">
        <v>0</v>
      </c>
      <c r="K66" s="41">
        <f t="shared" si="21"/>
        <v>0</v>
      </c>
      <c r="L66" s="41">
        <f t="shared" si="22"/>
        <v>-394072.09207513405</v>
      </c>
    </row>
    <row r="67" spans="1:12" x14ac:dyDescent="0.25">
      <c r="A67" s="1">
        <f t="shared" si="18"/>
        <v>43</v>
      </c>
      <c r="B67" s="112" t="str">
        <f>"Apr-"&amp;YEAR('A1 (FF1 Inputs)'!$E$12)+2</f>
        <v>Apr-2022</v>
      </c>
      <c r="C67" s="130">
        <f>EOMONTH(C63,3)</f>
        <v>44681</v>
      </c>
      <c r="D67" s="1">
        <f t="shared" si="23"/>
        <v>30</v>
      </c>
      <c r="E67" s="1">
        <f t="shared" si="17"/>
        <v>246</v>
      </c>
      <c r="F67" s="1">
        <f t="shared" si="19"/>
        <v>365</v>
      </c>
      <c r="G67" s="110">
        <f t="shared" si="20"/>
        <v>0.67397260273972603</v>
      </c>
      <c r="J67" s="41">
        <v>0</v>
      </c>
      <c r="K67" s="41">
        <f t="shared" si="21"/>
        <v>0</v>
      </c>
      <c r="L67" s="41">
        <f t="shared" si="22"/>
        <v>-394072.09207513405</v>
      </c>
    </row>
    <row r="68" spans="1:12" x14ac:dyDescent="0.25">
      <c r="A68" s="1">
        <f t="shared" si="18"/>
        <v>44</v>
      </c>
      <c r="B68" s="112" t="str">
        <f>"May-"&amp;YEAR('A1 (FF1 Inputs)'!$E$12)+2</f>
        <v>May-2022</v>
      </c>
      <c r="C68" s="130">
        <f>EOMONTH(C63,4)</f>
        <v>44712</v>
      </c>
      <c r="D68" s="1">
        <f t="shared" si="23"/>
        <v>31</v>
      </c>
      <c r="E68" s="1">
        <f t="shared" si="17"/>
        <v>215</v>
      </c>
      <c r="F68" s="1">
        <f t="shared" si="19"/>
        <v>365</v>
      </c>
      <c r="G68" s="110">
        <f t="shared" si="20"/>
        <v>0.58904109589041098</v>
      </c>
      <c r="J68" s="41">
        <v>0</v>
      </c>
      <c r="K68" s="41">
        <f t="shared" si="21"/>
        <v>0</v>
      </c>
      <c r="L68" s="41">
        <f t="shared" si="22"/>
        <v>-394072.09207513405</v>
      </c>
    </row>
    <row r="69" spans="1:12" x14ac:dyDescent="0.25">
      <c r="A69" s="1">
        <f t="shared" si="18"/>
        <v>45</v>
      </c>
      <c r="B69" s="112" t="str">
        <f>"Jun-"&amp;YEAR('A1 (FF1 Inputs)'!$E$12)+2</f>
        <v>Jun-2022</v>
      </c>
      <c r="C69" s="130">
        <f>EOMONTH(C63,5)</f>
        <v>44742</v>
      </c>
      <c r="D69" s="1">
        <f t="shared" si="23"/>
        <v>30</v>
      </c>
      <c r="E69" s="1">
        <f t="shared" si="17"/>
        <v>185</v>
      </c>
      <c r="F69" s="1">
        <f t="shared" si="19"/>
        <v>365</v>
      </c>
      <c r="G69" s="110">
        <f t="shared" si="20"/>
        <v>0.50684931506849318</v>
      </c>
      <c r="J69" s="41">
        <v>0</v>
      </c>
      <c r="K69" s="41">
        <f t="shared" si="21"/>
        <v>0</v>
      </c>
      <c r="L69" s="41">
        <f>L68+K69</f>
        <v>-394072.09207513405</v>
      </c>
    </row>
    <row r="70" spans="1:12" x14ac:dyDescent="0.25">
      <c r="A70" s="1">
        <f t="shared" si="18"/>
        <v>46</v>
      </c>
      <c r="B70" s="112" t="str">
        <f>"Jul-"&amp;YEAR('A1 (FF1 Inputs)'!$E$12)+2</f>
        <v>Jul-2022</v>
      </c>
      <c r="C70" s="130">
        <f>EOMONTH(C63,6)</f>
        <v>44773</v>
      </c>
      <c r="D70" s="1">
        <f t="shared" si="23"/>
        <v>31</v>
      </c>
      <c r="E70" s="1">
        <f t="shared" si="17"/>
        <v>154</v>
      </c>
      <c r="F70" s="1">
        <f t="shared" si="19"/>
        <v>365</v>
      </c>
      <c r="G70" s="110">
        <f t="shared" si="20"/>
        <v>0.42191780821917807</v>
      </c>
      <c r="J70" s="41">
        <v>0</v>
      </c>
      <c r="K70" s="41">
        <f t="shared" si="21"/>
        <v>0</v>
      </c>
      <c r="L70" s="41">
        <f t="shared" ref="L70:L75" si="24">L69+K70</f>
        <v>-394072.09207513405</v>
      </c>
    </row>
    <row r="71" spans="1:12" x14ac:dyDescent="0.25">
      <c r="A71" s="1">
        <f t="shared" si="18"/>
        <v>47</v>
      </c>
      <c r="B71" s="112" t="str">
        <f>"Aug-"&amp;YEAR('A1 (FF1 Inputs)'!$E$12)+2</f>
        <v>Aug-2022</v>
      </c>
      <c r="C71" s="130">
        <f>EOMONTH(C63,7)</f>
        <v>44804</v>
      </c>
      <c r="D71" s="1">
        <f t="shared" si="23"/>
        <v>31</v>
      </c>
      <c r="E71" s="1">
        <f t="shared" si="17"/>
        <v>123</v>
      </c>
      <c r="F71" s="1">
        <f t="shared" si="19"/>
        <v>365</v>
      </c>
      <c r="G71" s="110">
        <f t="shared" si="20"/>
        <v>0.33698630136986302</v>
      </c>
      <c r="J71" s="41">
        <v>0</v>
      </c>
      <c r="K71" s="41">
        <f t="shared" si="21"/>
        <v>0</v>
      </c>
      <c r="L71" s="41">
        <f t="shared" si="24"/>
        <v>-394072.09207513405</v>
      </c>
    </row>
    <row r="72" spans="1:12" x14ac:dyDescent="0.25">
      <c r="A72" s="1">
        <f t="shared" si="18"/>
        <v>48</v>
      </c>
      <c r="B72" s="112" t="str">
        <f>"Sep-"&amp;YEAR('A1 (FF1 Inputs)'!$E$12)+2</f>
        <v>Sep-2022</v>
      </c>
      <c r="C72" s="130">
        <f>EOMONTH(C63,8)</f>
        <v>44834</v>
      </c>
      <c r="D72" s="1">
        <f t="shared" si="23"/>
        <v>30</v>
      </c>
      <c r="E72" s="1">
        <f t="shared" si="17"/>
        <v>93</v>
      </c>
      <c r="F72" s="1">
        <f t="shared" si="19"/>
        <v>365</v>
      </c>
      <c r="G72" s="110">
        <f t="shared" si="20"/>
        <v>0.25479452054794521</v>
      </c>
      <c r="J72" s="41">
        <v>0</v>
      </c>
      <c r="K72" s="41">
        <f t="shared" si="21"/>
        <v>0</v>
      </c>
      <c r="L72" s="41">
        <f t="shared" si="24"/>
        <v>-394072.09207513405</v>
      </c>
    </row>
    <row r="73" spans="1:12" x14ac:dyDescent="0.25">
      <c r="A73" s="1">
        <f t="shared" si="18"/>
        <v>49</v>
      </c>
      <c r="B73" s="112" t="str">
        <f>"Oct-"&amp;YEAR('A1 (FF1 Inputs)'!$E$12)+2</f>
        <v>Oct-2022</v>
      </c>
      <c r="C73" s="130">
        <f>EOMONTH(C63,9)</f>
        <v>44865</v>
      </c>
      <c r="D73" s="1">
        <f t="shared" si="23"/>
        <v>31</v>
      </c>
      <c r="E73" s="1">
        <f t="shared" si="17"/>
        <v>62</v>
      </c>
      <c r="F73" s="1">
        <f t="shared" si="19"/>
        <v>365</v>
      </c>
      <c r="G73" s="110">
        <f t="shared" si="20"/>
        <v>0.16986301369863013</v>
      </c>
      <c r="J73" s="41">
        <v>0</v>
      </c>
      <c r="K73" s="41">
        <f t="shared" si="21"/>
        <v>0</v>
      </c>
      <c r="L73" s="41">
        <f t="shared" si="24"/>
        <v>-394072.09207513405</v>
      </c>
    </row>
    <row r="74" spans="1:12" x14ac:dyDescent="0.25">
      <c r="A74" s="1">
        <f t="shared" si="18"/>
        <v>50</v>
      </c>
      <c r="B74" s="112" t="str">
        <f>"Nov-"&amp;YEAR('A1 (FF1 Inputs)'!$E$12)+2</f>
        <v>Nov-2022</v>
      </c>
      <c r="C74" s="130">
        <f>EOMONTH(C63,10)</f>
        <v>44895</v>
      </c>
      <c r="D74" s="1">
        <f t="shared" si="23"/>
        <v>30</v>
      </c>
      <c r="E74" s="1">
        <f>D75+E75</f>
        <v>32</v>
      </c>
      <c r="F74" s="1">
        <f t="shared" si="19"/>
        <v>365</v>
      </c>
      <c r="G74" s="110">
        <f t="shared" si="20"/>
        <v>8.7671232876712329E-2</v>
      </c>
      <c r="J74" s="41">
        <v>0</v>
      </c>
      <c r="K74" s="41">
        <f t="shared" si="21"/>
        <v>0</v>
      </c>
      <c r="L74" s="41">
        <f t="shared" si="24"/>
        <v>-394072.09207513405</v>
      </c>
    </row>
    <row r="75" spans="1:12" x14ac:dyDescent="0.25">
      <c r="A75" s="1">
        <f t="shared" si="18"/>
        <v>51</v>
      </c>
      <c r="B75" s="112" t="str">
        <f>"Dec-"&amp;YEAR('A1 (FF1 Inputs)'!$E$12)+2</f>
        <v>Dec-2022</v>
      </c>
      <c r="C75" s="130">
        <f>EOMONTH(C63,11)</f>
        <v>44926</v>
      </c>
      <c r="D75" s="1">
        <f t="shared" si="23"/>
        <v>31</v>
      </c>
      <c r="E75" s="1">
        <v>1</v>
      </c>
      <c r="F75" s="1">
        <f t="shared" si="19"/>
        <v>365</v>
      </c>
      <c r="G75" s="110">
        <f t="shared" si="20"/>
        <v>2.7397260273972603E-3</v>
      </c>
      <c r="J75" s="41">
        <v>0</v>
      </c>
      <c r="K75" s="41">
        <f t="shared" si="21"/>
        <v>0</v>
      </c>
      <c r="L75" s="41">
        <f t="shared" si="24"/>
        <v>-394072.09207513405</v>
      </c>
    </row>
    <row r="76" spans="1:12" x14ac:dyDescent="0.25">
      <c r="A76" s="88">
        <f t="shared" si="18"/>
        <v>52</v>
      </c>
      <c r="B76" s="89" t="str">
        <f>"Total (Sum Lns. ("&amp;A63&amp;" through "&amp;A75&amp;"))"</f>
        <v>Total (Sum Lns. (39 through 51))</v>
      </c>
      <c r="C76" s="88"/>
      <c r="D76" s="89"/>
      <c r="E76" s="89"/>
      <c r="F76" s="89"/>
      <c r="G76" s="89"/>
      <c r="H76" s="89"/>
      <c r="I76" s="89"/>
      <c r="J76" s="90">
        <f>SUM(J64:J75)</f>
        <v>0</v>
      </c>
      <c r="K76" s="90">
        <f>SUM(K64:K75)</f>
        <v>0</v>
      </c>
      <c r="L76" s="90"/>
    </row>
    <row r="78" spans="1:12" x14ac:dyDescent="0.25">
      <c r="B78" s="132" t="s">
        <v>801</v>
      </c>
    </row>
    <row r="79" spans="1:12" x14ac:dyDescent="0.25">
      <c r="A79" s="1">
        <f>A76+1</f>
        <v>53</v>
      </c>
      <c r="B79" s="127" t="str">
        <f>"Beginning of Year Balance ("&amp;'P5 (ADIT Balances)'!$AF$1&amp;", Ln. "&amp;'P5 (ADIT Balances)'!$A$81&amp;", Col. [q])"</f>
        <v>Beginning of Year Balance (Worksheet P5, Ln. 12, Col. [q])</v>
      </c>
      <c r="L79" s="10">
        <f>'P5 (ADIT Balances)'!R81</f>
        <v>0</v>
      </c>
    </row>
    <row r="80" spans="1:12" x14ac:dyDescent="0.25">
      <c r="A80" s="1">
        <f>A79+1</f>
        <v>54</v>
      </c>
      <c r="B80" s="127" t="str">
        <f>"End of Year Balance ("&amp;'P5 (ADIT Balances)'!$AF$1&amp;", Ln. "&amp;'P5 (ADIT Balances)'!$A$81&amp;", Col. [cc])"</f>
        <v>End of Year Balance (Worksheet P5, Ln. 12, Col. [cc])</v>
      </c>
      <c r="L80" s="64">
        <f>'P5 (ADIT Balances)'!AD81</f>
        <v>0</v>
      </c>
    </row>
    <row r="81" spans="1:13" x14ac:dyDescent="0.25">
      <c r="A81" s="1">
        <f t="shared" ref="A81" si="25">A80+1</f>
        <v>55</v>
      </c>
      <c r="B81" s="127" t="str">
        <f>"Average of Beginning of Year and End of Year Balances (Average Lns. "&amp;A79&amp;" and "&amp;A80&amp;")"</f>
        <v>Average of Beginning of Year and End of Year Balances (Average Lns. 53 and 54)</v>
      </c>
      <c r="L81" s="10">
        <f>AVERAGE(L79,L80)</f>
        <v>0</v>
      </c>
    </row>
    <row r="82" spans="1:13" x14ac:dyDescent="0.25">
      <c r="B82" s="132"/>
    </row>
    <row r="83" spans="1:13" x14ac:dyDescent="0.25">
      <c r="A83" s="1">
        <f>A81+1</f>
        <v>56</v>
      </c>
      <c r="B83" s="127" t="str">
        <f>"Total Account No. 283 - Prorated Balance at End of Year (Ln. "&amp;A75&amp;", Col. [h])"</f>
        <v>Total Account No. 283 - Prorated Balance at End of Year (Ln. 51, Col. [h])</v>
      </c>
      <c r="L83" s="10">
        <f>L75</f>
        <v>-394072.09207513405</v>
      </c>
    </row>
    <row r="84" spans="1:13" x14ac:dyDescent="0.25">
      <c r="B84" s="127"/>
    </row>
    <row r="85" spans="1:13" ht="16.5" thickBot="1" x14ac:dyDescent="0.3">
      <c r="A85" s="1">
        <f>A83+1</f>
        <v>57</v>
      </c>
      <c r="B85" s="127" t="str">
        <f>"Total Average Account No. 283 Balance (Lns. ("&amp;A81&amp;" + "&amp;A83&amp;"))"</f>
        <v>Total Average Account No. 283 Balance (Lns. (55 + 56))</v>
      </c>
      <c r="L85" s="133">
        <f>L81+L83</f>
        <v>-394072.09207513405</v>
      </c>
    </row>
    <row r="87" spans="1:13" ht="16.5" thickBot="1" x14ac:dyDescent="0.3">
      <c r="A87" s="136">
        <f>A85+1</f>
        <v>58</v>
      </c>
      <c r="B87" s="137" t="str">
        <f>"Total Average Projected ADIT for Network Transmission (Lns. ("&amp;A26&amp;" + "&amp;A51&amp;" + "&amp;A76&amp;"))"</f>
        <v>Total Average Projected ADIT for Network Transmission (Lns. (14 + 33 + 52))</v>
      </c>
      <c r="C87" s="136"/>
      <c r="D87" s="137"/>
      <c r="E87" s="137"/>
      <c r="F87" s="137"/>
      <c r="G87" s="137"/>
      <c r="H87" s="137"/>
      <c r="I87" s="137"/>
      <c r="J87" s="137"/>
      <c r="K87" s="137"/>
      <c r="L87" s="138">
        <f>L35+L60+L85</f>
        <v>-54219025.120207004</v>
      </c>
    </row>
    <row r="89" spans="1:13" x14ac:dyDescent="0.25">
      <c r="A89" s="89" t="s">
        <v>893</v>
      </c>
      <c r="B89" s="50"/>
      <c r="C89" s="49"/>
      <c r="D89" s="50"/>
      <c r="E89" s="50"/>
      <c r="F89" s="50"/>
      <c r="G89" s="50"/>
      <c r="H89" s="50"/>
      <c r="I89" s="50"/>
      <c r="J89" s="50"/>
      <c r="K89" s="50"/>
      <c r="L89" s="50"/>
    </row>
    <row r="90" spans="1:13" x14ac:dyDescent="0.25">
      <c r="A90" s="1">
        <f>A87+1</f>
        <v>59</v>
      </c>
      <c r="B90" s="112" t="str">
        <f>"Dec-"&amp;YEAR('A1 (FF1 Inputs)'!$E$12)+2&amp;" ("&amp;'P6 (Excess and Deficient DIT)'!AJ1&amp;", Ln. "&amp;'P6 (Excess and Deficient DIT)'!A23&amp;", Col. [q])"</f>
        <v>Dec-2022 (Worksheet P6, Ln. 3, Col. [q])</v>
      </c>
      <c r="C90" s="130">
        <f>'A1 (FF1 Inputs)'!$E$13</f>
        <v>44562</v>
      </c>
      <c r="L90" s="10">
        <f>'P6 (Excess and Deficient DIT)'!S23</f>
        <v>-34447106.219202086</v>
      </c>
    </row>
    <row r="91" spans="1:13" x14ac:dyDescent="0.25">
      <c r="A91" s="1">
        <f>A90+1</f>
        <v>60</v>
      </c>
      <c r="B91" s="112" t="str">
        <f>"Jan-"&amp;YEAR('A1 (FF1 Inputs)'!$E$12)+2</f>
        <v>Jan-2022</v>
      </c>
      <c r="C91" s="130">
        <f>EOMONTH(C90,0)</f>
        <v>44592</v>
      </c>
      <c r="D91" s="1">
        <f>_xlfn.DAYS(C91,C90-1)</f>
        <v>31</v>
      </c>
      <c r="E91" s="1">
        <f t="shared" ref="E91:E100" si="26">D92+E92</f>
        <v>335</v>
      </c>
      <c r="F91" s="1">
        <f>SUM($D$14:$D$25)</f>
        <v>365</v>
      </c>
      <c r="G91" s="110">
        <f>E91/F91</f>
        <v>0.9178082191780822</v>
      </c>
      <c r="J91" s="41">
        <f t="array" ref="J91:J102">TRANSPOSE('P6 (Excess and Deficient DIT)'!T24:AE24)</f>
        <v>133499.50079092383</v>
      </c>
      <c r="K91" s="41">
        <f>G91*J91</f>
        <v>122526.93908208077</v>
      </c>
      <c r="L91" s="41">
        <f>L90+K91</f>
        <v>-34324579.280120008</v>
      </c>
      <c r="M91" s="10"/>
    </row>
    <row r="92" spans="1:13" x14ac:dyDescent="0.25">
      <c r="A92" s="1">
        <f t="shared" ref="A92:A103" si="27">A91+1</f>
        <v>61</v>
      </c>
      <c r="B92" s="112" t="str">
        <f>"Feb-"&amp;YEAR('A1 (FF1 Inputs)'!$E$12)+2</f>
        <v>Feb-2022</v>
      </c>
      <c r="C92" s="130">
        <f>EOMONTH(C90,1)</f>
        <v>44620</v>
      </c>
      <c r="D92" s="1">
        <f>_xlfn.DAYS(C92,C91)</f>
        <v>28</v>
      </c>
      <c r="E92" s="1">
        <f t="shared" si="26"/>
        <v>307</v>
      </c>
      <c r="F92" s="1">
        <f t="shared" ref="F92:F102" si="28">SUM($D$14:$D$25)</f>
        <v>365</v>
      </c>
      <c r="G92" s="110">
        <f t="shared" ref="G92:G102" si="29">E92/F92</f>
        <v>0.84109589041095889</v>
      </c>
      <c r="J92" s="41">
        <v>133499.50079093128</v>
      </c>
      <c r="K92" s="41">
        <f t="shared" ref="K92:K102" si="30">G92*J92</f>
        <v>112285.88148716686</v>
      </c>
      <c r="L92" s="41">
        <f t="shared" ref="L92:L95" si="31">L91+K92</f>
        <v>-34212293.398632839</v>
      </c>
      <c r="M92" s="10"/>
    </row>
    <row r="93" spans="1:13" x14ac:dyDescent="0.25">
      <c r="A93" s="1">
        <f t="shared" si="27"/>
        <v>62</v>
      </c>
      <c r="B93" s="112" t="str">
        <f>"Mar-"&amp;YEAR('A1 (FF1 Inputs)'!$E$12)+2</f>
        <v>Mar-2022</v>
      </c>
      <c r="C93" s="130">
        <f>EOMONTH(C90,2)</f>
        <v>44651</v>
      </c>
      <c r="D93" s="1">
        <f t="shared" ref="D93:D102" si="32">_xlfn.DAYS(C93,C92)</f>
        <v>31</v>
      </c>
      <c r="E93" s="1">
        <f t="shared" si="26"/>
        <v>276</v>
      </c>
      <c r="F93" s="1">
        <f t="shared" si="28"/>
        <v>365</v>
      </c>
      <c r="G93" s="110">
        <f t="shared" si="29"/>
        <v>0.75616438356164384</v>
      </c>
      <c r="J93" s="41">
        <v>133499.50079092383</v>
      </c>
      <c r="K93" s="41">
        <f t="shared" si="30"/>
        <v>100947.5677213561</v>
      </c>
      <c r="L93" s="41">
        <f t="shared" si="31"/>
        <v>-34111345.83091148</v>
      </c>
      <c r="M93" s="10"/>
    </row>
    <row r="94" spans="1:13" x14ac:dyDescent="0.25">
      <c r="A94" s="1">
        <f t="shared" si="27"/>
        <v>63</v>
      </c>
      <c r="B94" s="112" t="str">
        <f>"Apr-"&amp;YEAR('A1 (FF1 Inputs)'!$E$12)+2</f>
        <v>Apr-2022</v>
      </c>
      <c r="C94" s="130">
        <f>EOMONTH(C90,3)</f>
        <v>44681</v>
      </c>
      <c r="D94" s="1">
        <f t="shared" si="32"/>
        <v>30</v>
      </c>
      <c r="E94" s="1">
        <f t="shared" si="26"/>
        <v>246</v>
      </c>
      <c r="F94" s="1">
        <f t="shared" si="28"/>
        <v>365</v>
      </c>
      <c r="G94" s="110">
        <f t="shared" si="29"/>
        <v>0.67397260273972603</v>
      </c>
      <c r="J94" s="41">
        <v>133499.50079093128</v>
      </c>
      <c r="K94" s="41">
        <f t="shared" si="30"/>
        <v>89975.006012518075</v>
      </c>
      <c r="L94" s="41">
        <f t="shared" si="31"/>
        <v>-34021370.824898958</v>
      </c>
      <c r="M94" s="10"/>
    </row>
    <row r="95" spans="1:13" x14ac:dyDescent="0.25">
      <c r="A95" s="1">
        <f t="shared" si="27"/>
        <v>64</v>
      </c>
      <c r="B95" s="112" t="str">
        <f>"May-"&amp;YEAR('A1 (FF1 Inputs)'!$E$12)+2</f>
        <v>May-2022</v>
      </c>
      <c r="C95" s="130">
        <f>EOMONTH(C90,4)</f>
        <v>44712</v>
      </c>
      <c r="D95" s="1">
        <f t="shared" si="32"/>
        <v>31</v>
      </c>
      <c r="E95" s="1">
        <f t="shared" si="26"/>
        <v>215</v>
      </c>
      <c r="F95" s="1">
        <f t="shared" si="28"/>
        <v>365</v>
      </c>
      <c r="G95" s="110">
        <f t="shared" si="29"/>
        <v>0.58904109589041098</v>
      </c>
      <c r="J95" s="41">
        <v>133499.50079092383</v>
      </c>
      <c r="K95" s="41">
        <f t="shared" si="30"/>
        <v>78636.692246708568</v>
      </c>
      <c r="L95" s="41">
        <f t="shared" si="31"/>
        <v>-33942734.132652253</v>
      </c>
    </row>
    <row r="96" spans="1:13" x14ac:dyDescent="0.25">
      <c r="A96" s="1">
        <f t="shared" si="27"/>
        <v>65</v>
      </c>
      <c r="B96" s="112" t="str">
        <f>"Jun-"&amp;YEAR('A1 (FF1 Inputs)'!$E$12)+2</f>
        <v>Jun-2022</v>
      </c>
      <c r="C96" s="130">
        <f>EOMONTH(C90,5)</f>
        <v>44742</v>
      </c>
      <c r="D96" s="1">
        <f t="shared" si="32"/>
        <v>30</v>
      </c>
      <c r="E96" s="1">
        <f t="shared" si="26"/>
        <v>185</v>
      </c>
      <c r="F96" s="1">
        <f t="shared" si="28"/>
        <v>365</v>
      </c>
      <c r="G96" s="110">
        <f t="shared" si="29"/>
        <v>0.50684931506849318</v>
      </c>
      <c r="J96" s="41">
        <v>133499.50079093128</v>
      </c>
      <c r="K96" s="41">
        <f t="shared" si="30"/>
        <v>67664.130537869278</v>
      </c>
      <c r="L96" s="41">
        <f>L95+K96</f>
        <v>-33875070.002114385</v>
      </c>
    </row>
    <row r="97" spans="1:12" x14ac:dyDescent="0.25">
      <c r="A97" s="1">
        <f t="shared" si="27"/>
        <v>66</v>
      </c>
      <c r="B97" s="112" t="str">
        <f>"Jul-"&amp;YEAR('A1 (FF1 Inputs)'!$E$12)+2</f>
        <v>Jul-2022</v>
      </c>
      <c r="C97" s="130">
        <f>EOMONTH(C90,6)</f>
        <v>44773</v>
      </c>
      <c r="D97" s="1">
        <f t="shared" si="32"/>
        <v>31</v>
      </c>
      <c r="E97" s="1">
        <f t="shared" si="26"/>
        <v>154</v>
      </c>
      <c r="F97" s="1">
        <f t="shared" si="28"/>
        <v>365</v>
      </c>
      <c r="G97" s="110">
        <f t="shared" si="29"/>
        <v>0.42191780821917807</v>
      </c>
      <c r="J97" s="41">
        <v>133499.50079093128</v>
      </c>
      <c r="K97" s="41">
        <f t="shared" si="30"/>
        <v>56325.816772064158</v>
      </c>
      <c r="L97" s="41">
        <f t="shared" ref="L97:L102" si="33">L96+K97</f>
        <v>-33818744.185342319</v>
      </c>
    </row>
    <row r="98" spans="1:12" x14ac:dyDescent="0.25">
      <c r="A98" s="1">
        <f t="shared" si="27"/>
        <v>67</v>
      </c>
      <c r="B98" s="112" t="str">
        <f>"Aug-"&amp;YEAR('A1 (FF1 Inputs)'!$E$12)+2</f>
        <v>Aug-2022</v>
      </c>
      <c r="C98" s="130">
        <f>EOMONTH(C90,7)</f>
        <v>44804</v>
      </c>
      <c r="D98" s="1">
        <f t="shared" si="32"/>
        <v>31</v>
      </c>
      <c r="E98" s="1">
        <f t="shared" si="26"/>
        <v>123</v>
      </c>
      <c r="F98" s="1">
        <f t="shared" si="28"/>
        <v>365</v>
      </c>
      <c r="G98" s="110">
        <f t="shared" si="29"/>
        <v>0.33698630136986302</v>
      </c>
      <c r="J98" s="41">
        <v>133499.50079092383</v>
      </c>
      <c r="K98" s="41">
        <f t="shared" si="30"/>
        <v>44987.503006256527</v>
      </c>
      <c r="L98" s="41">
        <f t="shared" si="33"/>
        <v>-33773756.682336062</v>
      </c>
    </row>
    <row r="99" spans="1:12" x14ac:dyDescent="0.25">
      <c r="A99" s="1">
        <f t="shared" si="27"/>
        <v>68</v>
      </c>
      <c r="B99" s="112" t="str">
        <f>"Sep-"&amp;YEAR('A1 (FF1 Inputs)'!$E$12)+2</f>
        <v>Sep-2022</v>
      </c>
      <c r="C99" s="130">
        <f>EOMONTH(C90,8)</f>
        <v>44834</v>
      </c>
      <c r="D99" s="1">
        <f t="shared" si="32"/>
        <v>30</v>
      </c>
      <c r="E99" s="1">
        <f t="shared" si="26"/>
        <v>93</v>
      </c>
      <c r="F99" s="1">
        <f t="shared" si="28"/>
        <v>365</v>
      </c>
      <c r="G99" s="110">
        <f t="shared" si="29"/>
        <v>0.25479452054794521</v>
      </c>
      <c r="J99" s="41">
        <v>133499.50079093128</v>
      </c>
      <c r="K99" s="41">
        <f t="shared" si="30"/>
        <v>34014.941297415367</v>
      </c>
      <c r="L99" s="41">
        <f t="shared" si="33"/>
        <v>-33739741.74103865</v>
      </c>
    </row>
    <row r="100" spans="1:12" x14ac:dyDescent="0.25">
      <c r="A100" s="1">
        <f t="shared" si="27"/>
        <v>69</v>
      </c>
      <c r="B100" s="112" t="str">
        <f>"Oct-"&amp;YEAR('A1 (FF1 Inputs)'!$E$12)+2</f>
        <v>Oct-2022</v>
      </c>
      <c r="C100" s="130">
        <f>EOMONTH(C90,9)</f>
        <v>44865</v>
      </c>
      <c r="D100" s="1">
        <f t="shared" si="32"/>
        <v>31</v>
      </c>
      <c r="E100" s="1">
        <f t="shared" si="26"/>
        <v>62</v>
      </c>
      <c r="F100" s="1">
        <f t="shared" si="28"/>
        <v>365</v>
      </c>
      <c r="G100" s="110">
        <f t="shared" si="29"/>
        <v>0.16986301369863013</v>
      </c>
      <c r="J100" s="41">
        <v>133499.50079092383</v>
      </c>
      <c r="K100" s="41">
        <f t="shared" si="30"/>
        <v>22676.627531608978</v>
      </c>
      <c r="L100" s="41">
        <f t="shared" si="33"/>
        <v>-33717065.11350704</v>
      </c>
    </row>
    <row r="101" spans="1:12" x14ac:dyDescent="0.25">
      <c r="A101" s="1">
        <f t="shared" si="27"/>
        <v>70</v>
      </c>
      <c r="B101" s="112" t="str">
        <f>"Nov-"&amp;YEAR('A1 (FF1 Inputs)'!$E$12)+2</f>
        <v>Nov-2022</v>
      </c>
      <c r="C101" s="130">
        <f>EOMONTH(C90,10)</f>
        <v>44895</v>
      </c>
      <c r="D101" s="1">
        <f t="shared" si="32"/>
        <v>30</v>
      </c>
      <c r="E101" s="1">
        <f>D102+E102</f>
        <v>32</v>
      </c>
      <c r="F101" s="1">
        <f t="shared" si="28"/>
        <v>365</v>
      </c>
      <c r="G101" s="110">
        <f t="shared" si="29"/>
        <v>8.7671232876712329E-2</v>
      </c>
      <c r="J101" s="41">
        <v>133499.50079093501</v>
      </c>
      <c r="K101" s="41">
        <f t="shared" si="30"/>
        <v>11704.065822766905</v>
      </c>
      <c r="L101" s="41">
        <f t="shared" si="33"/>
        <v>-33705361.047684275</v>
      </c>
    </row>
    <row r="102" spans="1:12" x14ac:dyDescent="0.25">
      <c r="A102" s="1">
        <f t="shared" si="27"/>
        <v>71</v>
      </c>
      <c r="B102" s="112" t="str">
        <f>"Dec-"&amp;YEAR('A1 (FF1 Inputs)'!$E$12)+2</f>
        <v>Dec-2022</v>
      </c>
      <c r="C102" s="130">
        <f>EOMONTH(C90,11)</f>
        <v>44926</v>
      </c>
      <c r="D102" s="1">
        <f t="shared" si="32"/>
        <v>31</v>
      </c>
      <c r="E102" s="1">
        <v>1</v>
      </c>
      <c r="F102" s="1">
        <f t="shared" si="28"/>
        <v>365</v>
      </c>
      <c r="G102" s="110">
        <f t="shared" si="29"/>
        <v>2.7397260273972603E-3</v>
      </c>
      <c r="J102" s="41">
        <v>133499.50079092756</v>
      </c>
      <c r="K102" s="41">
        <f t="shared" si="30"/>
        <v>365.75205696144536</v>
      </c>
      <c r="L102" s="41">
        <f t="shared" si="33"/>
        <v>-33704995.295627311</v>
      </c>
    </row>
    <row r="103" spans="1:12" x14ac:dyDescent="0.25">
      <c r="A103" s="88">
        <f t="shared" si="27"/>
        <v>72</v>
      </c>
      <c r="B103" s="89" t="str">
        <f>"Total (Sum Lns. ("&amp;A90&amp;" through "&amp;A102&amp;"))"</f>
        <v>Total (Sum Lns. (59 through 71))</v>
      </c>
      <c r="C103" s="88"/>
      <c r="D103" s="89"/>
      <c r="E103" s="89"/>
      <c r="F103" s="89"/>
      <c r="G103" s="89"/>
      <c r="H103" s="89"/>
      <c r="I103" s="89"/>
      <c r="J103" s="90">
        <f>SUM(J91:J102)</f>
        <v>1601994.0094911382</v>
      </c>
      <c r="K103" s="90">
        <f>SUM(K91:K102)</f>
        <v>742110.92357477313</v>
      </c>
      <c r="L103" s="90"/>
    </row>
    <row r="105" spans="1:12" x14ac:dyDescent="0.25">
      <c r="B105" s="132" t="s">
        <v>1155</v>
      </c>
    </row>
    <row r="106" spans="1:12" x14ac:dyDescent="0.25">
      <c r="A106" s="1">
        <f>A103+1</f>
        <v>73</v>
      </c>
      <c r="B106" s="127" t="str">
        <f>"Beginning of Year Balance ("&amp;'P6 (Excess and Deficient DIT)'!$AJ$1&amp;", Ln. "&amp;'P6 (Excess and Deficient DIT)'!$A$25&amp;", Col. [q])"</f>
        <v>Beginning of Year Balance (Worksheet P6, Ln. 4, Col. [q])</v>
      </c>
      <c r="L106" s="10">
        <f>'P6 (Excess and Deficient DIT)'!S25</f>
        <v>0</v>
      </c>
    </row>
    <row r="107" spans="1:12" x14ac:dyDescent="0.25">
      <c r="A107" s="1">
        <f>A106+1</f>
        <v>74</v>
      </c>
      <c r="B107" s="127" t="str">
        <f>"End of Year Balance ("&amp;'P6 (Excess and Deficient DIT)'!$AJ$1&amp;", Ln. "&amp;'P6 (Excess and Deficient DIT)'!$A$25&amp;", Col. [cc])"</f>
        <v>End of Year Balance (Worksheet P6, Ln. 4, Col. [cc])</v>
      </c>
      <c r="L107" s="64">
        <f>'P6 (Excess and Deficient DIT)'!AE25</f>
        <v>0</v>
      </c>
    </row>
    <row r="108" spans="1:12" x14ac:dyDescent="0.25">
      <c r="A108" s="1">
        <f t="shared" ref="A108" si="34">A107+1</f>
        <v>75</v>
      </c>
      <c r="B108" s="127" t="str">
        <f>"Average of Beginning of Year and End of Year Balances (Average Lns. "&amp;A106&amp;" and "&amp;A107&amp;")"</f>
        <v>Average of Beginning of Year and End of Year Balances (Average Lns. 73 and 74)</v>
      </c>
      <c r="L108" s="10">
        <f>AVERAGE(L106,L107)</f>
        <v>0</v>
      </c>
    </row>
    <row r="109" spans="1:12" x14ac:dyDescent="0.25">
      <c r="B109" s="132"/>
    </row>
    <row r="110" spans="1:12" x14ac:dyDescent="0.25">
      <c r="A110" s="1">
        <f>A108+1</f>
        <v>76</v>
      </c>
      <c r="B110" s="127" t="str">
        <f>"Total Excess Deferred Income Taxes - Prorated Balance at End of Year (Ln. "&amp;A102&amp;", Col. [h])"</f>
        <v>Total Excess Deferred Income Taxes - Prorated Balance at End of Year (Ln. 71, Col. [h])</v>
      </c>
      <c r="L110" s="10">
        <f>L102</f>
        <v>-33704995.295627311</v>
      </c>
    </row>
    <row r="111" spans="1:12" x14ac:dyDescent="0.25">
      <c r="B111" s="127"/>
    </row>
    <row r="112" spans="1:12" ht="16.5" thickBot="1" x14ac:dyDescent="0.3">
      <c r="A112" s="1">
        <f>A110+1</f>
        <v>77</v>
      </c>
      <c r="B112" s="127" t="str">
        <f>"Total Average Excess Deferred Income Tax Balance (Lns. ("&amp;A108&amp;" + "&amp;A110&amp;"))"</f>
        <v>Total Average Excess Deferred Income Tax Balance (Lns. (75 + 76))</v>
      </c>
      <c r="L112" s="133">
        <f>L108+L110</f>
        <v>-33704995.295627311</v>
      </c>
    </row>
    <row r="114" spans="1:13" x14ac:dyDescent="0.25">
      <c r="A114" s="89" t="s">
        <v>894</v>
      </c>
      <c r="B114" s="50"/>
      <c r="C114" s="49"/>
      <c r="D114" s="50"/>
      <c r="E114" s="50"/>
      <c r="F114" s="50"/>
      <c r="G114" s="50"/>
      <c r="H114" s="50"/>
      <c r="I114" s="50"/>
      <c r="J114" s="50"/>
      <c r="K114" s="50"/>
      <c r="L114" s="50"/>
    </row>
    <row r="115" spans="1:13" x14ac:dyDescent="0.25">
      <c r="A115" s="1">
        <f>A112+1</f>
        <v>78</v>
      </c>
      <c r="B115" s="112" t="str">
        <f>"Dec-"&amp;YEAR('A1 (FF1 Inputs)'!$E$12)+2&amp;" ("&amp;'P6 (Excess and Deficient DIT)'!AJ1&amp;", Ln. "&amp;'P6 (Excess and Deficient DIT)'!A35&amp;", Col. [q])"</f>
        <v>Dec-2022 (Worksheet P6, Ln. 7, Col. [q])</v>
      </c>
      <c r="C115" s="130">
        <f>'A1 (FF1 Inputs)'!$E$13</f>
        <v>44562</v>
      </c>
      <c r="L115" s="10">
        <f>'P6 (Excess and Deficient DIT)'!S35</f>
        <v>2996251.3482166035</v>
      </c>
    </row>
    <row r="116" spans="1:13" x14ac:dyDescent="0.25">
      <c r="A116" s="1">
        <f>A115+1</f>
        <v>79</v>
      </c>
      <c r="B116" s="112" t="str">
        <f>"Jan-"&amp;YEAR('A1 (FF1 Inputs)'!$E$12)+2</f>
        <v>Jan-2022</v>
      </c>
      <c r="C116" s="130">
        <f>EOMONTH(C115,0)</f>
        <v>44592</v>
      </c>
      <c r="D116" s="1">
        <f>_xlfn.DAYS(C116,C115-1)</f>
        <v>31</v>
      </c>
      <c r="E116" s="1">
        <f t="shared" ref="E116:E125" si="35">D117+E117</f>
        <v>335</v>
      </c>
      <c r="F116" s="1">
        <f>SUM($D$14:$D$25)</f>
        <v>365</v>
      </c>
      <c r="G116" s="110">
        <f>E116/F116</f>
        <v>0.9178082191780822</v>
      </c>
      <c r="J116" s="41">
        <f t="array" ref="J116:J127">TRANSPOSE('P6 (Excess and Deficient DIT)'!T36:AE36)</f>
        <v>-14539.700767298695</v>
      </c>
      <c r="K116" s="41">
        <f>G116*J116</f>
        <v>-13344.65686861661</v>
      </c>
      <c r="L116" s="41">
        <f>L115+K116</f>
        <v>2982906.6913479869</v>
      </c>
      <c r="M116" s="10"/>
    </row>
    <row r="117" spans="1:13" x14ac:dyDescent="0.25">
      <c r="A117" s="1">
        <f t="shared" ref="A117:A128" si="36">A116+1</f>
        <v>80</v>
      </c>
      <c r="B117" s="112" t="str">
        <f>"Feb-"&amp;YEAR('A1 (FF1 Inputs)'!$E$12)+2</f>
        <v>Feb-2022</v>
      </c>
      <c r="C117" s="130">
        <f>EOMONTH(C115,1)</f>
        <v>44620</v>
      </c>
      <c r="D117" s="1">
        <f>_xlfn.DAYS(C117,C116)</f>
        <v>28</v>
      </c>
      <c r="E117" s="1">
        <f t="shared" si="35"/>
        <v>307</v>
      </c>
      <c r="F117" s="1">
        <f t="shared" ref="F117:F127" si="37">SUM($D$14:$D$25)</f>
        <v>365</v>
      </c>
      <c r="G117" s="110">
        <f t="shared" ref="G117:G127" si="38">E117/F117</f>
        <v>0.84109589041095889</v>
      </c>
      <c r="J117" s="41">
        <v>-14539.700767298695</v>
      </c>
      <c r="K117" s="41">
        <f t="shared" ref="K117:K127" si="39">G117*J117</f>
        <v>-12229.282563179997</v>
      </c>
      <c r="L117" s="41">
        <f t="shared" ref="L117:L120" si="40">L116+K117</f>
        <v>2970677.4087848067</v>
      </c>
      <c r="M117" s="10"/>
    </row>
    <row r="118" spans="1:13" x14ac:dyDescent="0.25">
      <c r="A118" s="1">
        <f t="shared" si="36"/>
        <v>81</v>
      </c>
      <c r="B118" s="112" t="str">
        <f>"Mar-"&amp;YEAR('A1 (FF1 Inputs)'!$E$12)+2</f>
        <v>Mar-2022</v>
      </c>
      <c r="C118" s="130">
        <f>EOMONTH(C115,2)</f>
        <v>44651</v>
      </c>
      <c r="D118" s="1">
        <f t="shared" ref="D118:D127" si="41">_xlfn.DAYS(C118,C117)</f>
        <v>31</v>
      </c>
      <c r="E118" s="1">
        <f t="shared" si="35"/>
        <v>276</v>
      </c>
      <c r="F118" s="1">
        <f t="shared" si="37"/>
        <v>365</v>
      </c>
      <c r="G118" s="110">
        <f t="shared" si="38"/>
        <v>0.75616438356164384</v>
      </c>
      <c r="J118" s="41">
        <v>-14539.70076729916</v>
      </c>
      <c r="K118" s="41">
        <f t="shared" si="39"/>
        <v>-10994.40386787553</v>
      </c>
      <c r="L118" s="41">
        <f t="shared" si="40"/>
        <v>2959683.004916931</v>
      </c>
      <c r="M118" s="10"/>
    </row>
    <row r="119" spans="1:13" x14ac:dyDescent="0.25">
      <c r="A119" s="1">
        <f t="shared" si="36"/>
        <v>82</v>
      </c>
      <c r="B119" s="112" t="str">
        <f>"Apr-"&amp;YEAR('A1 (FF1 Inputs)'!$E$12)+2</f>
        <v>Apr-2022</v>
      </c>
      <c r="C119" s="130">
        <f>EOMONTH(C115,3)</f>
        <v>44681</v>
      </c>
      <c r="D119" s="1">
        <f t="shared" si="41"/>
        <v>30</v>
      </c>
      <c r="E119" s="1">
        <f t="shared" si="35"/>
        <v>246</v>
      </c>
      <c r="F119" s="1">
        <f t="shared" si="37"/>
        <v>365</v>
      </c>
      <c r="G119" s="110">
        <f t="shared" si="38"/>
        <v>0.67397260273972603</v>
      </c>
      <c r="J119" s="41">
        <v>-14539.700767298229</v>
      </c>
      <c r="K119" s="41">
        <f t="shared" si="39"/>
        <v>-9799.3599691927793</v>
      </c>
      <c r="L119" s="41">
        <f t="shared" si="40"/>
        <v>2949883.6449477384</v>
      </c>
      <c r="M119" s="10"/>
    </row>
    <row r="120" spans="1:13" x14ac:dyDescent="0.25">
      <c r="A120" s="1">
        <f t="shared" si="36"/>
        <v>83</v>
      </c>
      <c r="B120" s="112" t="str">
        <f>"May-"&amp;YEAR('A1 (FF1 Inputs)'!$E$12)+2</f>
        <v>May-2022</v>
      </c>
      <c r="C120" s="130">
        <f>EOMONTH(C115,4)</f>
        <v>44712</v>
      </c>
      <c r="D120" s="1">
        <f t="shared" si="41"/>
        <v>31</v>
      </c>
      <c r="E120" s="1">
        <f t="shared" si="35"/>
        <v>215</v>
      </c>
      <c r="F120" s="1">
        <f t="shared" si="37"/>
        <v>365</v>
      </c>
      <c r="G120" s="110">
        <f t="shared" si="38"/>
        <v>0.58904109589041098</v>
      </c>
      <c r="J120" s="41">
        <v>-14539.700767298695</v>
      </c>
      <c r="K120" s="41">
        <f t="shared" si="39"/>
        <v>-8564.481273888272</v>
      </c>
      <c r="L120" s="41">
        <f t="shared" si="40"/>
        <v>2941319.1636738502</v>
      </c>
    </row>
    <row r="121" spans="1:13" x14ac:dyDescent="0.25">
      <c r="A121" s="1">
        <f t="shared" si="36"/>
        <v>84</v>
      </c>
      <c r="B121" s="112" t="str">
        <f>"Jun-"&amp;YEAR('A1 (FF1 Inputs)'!$E$12)+2</f>
        <v>Jun-2022</v>
      </c>
      <c r="C121" s="130">
        <f>EOMONTH(C115,5)</f>
        <v>44742</v>
      </c>
      <c r="D121" s="1">
        <f t="shared" si="41"/>
        <v>30</v>
      </c>
      <c r="E121" s="1">
        <f t="shared" si="35"/>
        <v>185</v>
      </c>
      <c r="F121" s="1">
        <f t="shared" si="37"/>
        <v>365</v>
      </c>
      <c r="G121" s="110">
        <f t="shared" si="38"/>
        <v>0.50684931506849318</v>
      </c>
      <c r="J121" s="41">
        <v>-14539.70076729916</v>
      </c>
      <c r="K121" s="41">
        <f t="shared" si="39"/>
        <v>-7369.4373752064239</v>
      </c>
      <c r="L121" s="41">
        <f>L120+K121</f>
        <v>2933949.7262986437</v>
      </c>
    </row>
    <row r="122" spans="1:13" x14ac:dyDescent="0.25">
      <c r="A122" s="1">
        <f t="shared" si="36"/>
        <v>85</v>
      </c>
      <c r="B122" s="112" t="str">
        <f>"Jul-"&amp;YEAR('A1 (FF1 Inputs)'!$E$12)+2</f>
        <v>Jul-2022</v>
      </c>
      <c r="C122" s="130">
        <f>EOMONTH(C115,6)</f>
        <v>44773</v>
      </c>
      <c r="D122" s="1">
        <f t="shared" si="41"/>
        <v>31</v>
      </c>
      <c r="E122" s="1">
        <f t="shared" si="35"/>
        <v>154</v>
      </c>
      <c r="F122" s="1">
        <f t="shared" si="37"/>
        <v>365</v>
      </c>
      <c r="G122" s="110">
        <f t="shared" si="38"/>
        <v>0.42191780821917807</v>
      </c>
      <c r="J122" s="41">
        <v>-14539.700767298695</v>
      </c>
      <c r="K122" s="41">
        <f t="shared" si="39"/>
        <v>-6134.5586799013672</v>
      </c>
      <c r="L122" s="41">
        <f t="shared" ref="L122:L127" si="42">L121+K122</f>
        <v>2927815.1676187422</v>
      </c>
    </row>
    <row r="123" spans="1:13" x14ac:dyDescent="0.25">
      <c r="A123" s="1">
        <f t="shared" si="36"/>
        <v>86</v>
      </c>
      <c r="B123" s="112" t="str">
        <f>"Aug-"&amp;YEAR('A1 (FF1 Inputs)'!$E$12)+2</f>
        <v>Aug-2022</v>
      </c>
      <c r="C123" s="130">
        <f>EOMONTH(C115,7)</f>
        <v>44804</v>
      </c>
      <c r="D123" s="1">
        <f t="shared" si="41"/>
        <v>31</v>
      </c>
      <c r="E123" s="1">
        <f t="shared" si="35"/>
        <v>123</v>
      </c>
      <c r="F123" s="1">
        <f t="shared" si="37"/>
        <v>365</v>
      </c>
      <c r="G123" s="110">
        <f t="shared" si="38"/>
        <v>0.33698630136986302</v>
      </c>
      <c r="J123" s="41">
        <v>-14539.70076729916</v>
      </c>
      <c r="K123" s="41">
        <f t="shared" si="39"/>
        <v>-4899.6799845967034</v>
      </c>
      <c r="L123" s="41">
        <f t="shared" si="42"/>
        <v>2922915.4876341457</v>
      </c>
    </row>
    <row r="124" spans="1:13" x14ac:dyDescent="0.25">
      <c r="A124" s="1">
        <f t="shared" si="36"/>
        <v>87</v>
      </c>
      <c r="B124" s="112" t="str">
        <f>"Sep-"&amp;YEAR('A1 (FF1 Inputs)'!$E$12)+2</f>
        <v>Sep-2022</v>
      </c>
      <c r="C124" s="130">
        <f>EOMONTH(C115,8)</f>
        <v>44834</v>
      </c>
      <c r="D124" s="1">
        <f t="shared" si="41"/>
        <v>30</v>
      </c>
      <c r="E124" s="1">
        <f t="shared" si="35"/>
        <v>93</v>
      </c>
      <c r="F124" s="1">
        <f t="shared" si="37"/>
        <v>365</v>
      </c>
      <c r="G124" s="110">
        <f t="shared" si="38"/>
        <v>0.25479452054794521</v>
      </c>
      <c r="J124" s="41">
        <v>-14539.700767298695</v>
      </c>
      <c r="K124" s="41">
        <f t="shared" si="39"/>
        <v>-3704.636085914462</v>
      </c>
      <c r="L124" s="41">
        <f t="shared" si="42"/>
        <v>2919210.8515482312</v>
      </c>
    </row>
    <row r="125" spans="1:13" x14ac:dyDescent="0.25">
      <c r="A125" s="1">
        <f t="shared" si="36"/>
        <v>88</v>
      </c>
      <c r="B125" s="112" t="str">
        <f>"Oct-"&amp;YEAR('A1 (FF1 Inputs)'!$E$12)+2</f>
        <v>Oct-2022</v>
      </c>
      <c r="C125" s="130">
        <f>EOMONTH(C115,9)</f>
        <v>44865</v>
      </c>
      <c r="D125" s="1">
        <f t="shared" si="41"/>
        <v>31</v>
      </c>
      <c r="E125" s="1">
        <f t="shared" si="35"/>
        <v>62</v>
      </c>
      <c r="F125" s="1">
        <f t="shared" si="37"/>
        <v>365</v>
      </c>
      <c r="G125" s="110">
        <f t="shared" si="38"/>
        <v>0.16986301369863013</v>
      </c>
      <c r="J125" s="41">
        <v>-14539.700767298695</v>
      </c>
      <c r="K125" s="41">
        <f t="shared" si="39"/>
        <v>-2469.7573906096413</v>
      </c>
      <c r="L125" s="41">
        <f t="shared" si="42"/>
        <v>2916741.0941576217</v>
      </c>
    </row>
    <row r="126" spans="1:13" x14ac:dyDescent="0.25">
      <c r="A126" s="1">
        <f t="shared" si="36"/>
        <v>89</v>
      </c>
      <c r="B126" s="112" t="str">
        <f>"Nov-"&amp;YEAR('A1 (FF1 Inputs)'!$E$12)+2</f>
        <v>Nov-2022</v>
      </c>
      <c r="C126" s="130">
        <f>EOMONTH(C115,10)</f>
        <v>44895</v>
      </c>
      <c r="D126" s="1">
        <f t="shared" si="41"/>
        <v>30</v>
      </c>
      <c r="E126" s="1">
        <f>D127+E127</f>
        <v>32</v>
      </c>
      <c r="F126" s="1">
        <f t="shared" si="37"/>
        <v>365</v>
      </c>
      <c r="G126" s="110">
        <f t="shared" si="38"/>
        <v>8.7671232876712329E-2</v>
      </c>
      <c r="J126" s="41">
        <v>-14539.70076729916</v>
      </c>
      <c r="K126" s="41">
        <f t="shared" si="39"/>
        <v>-1274.7134919275977</v>
      </c>
      <c r="L126" s="41">
        <f t="shared" si="42"/>
        <v>2915466.3806656944</v>
      </c>
    </row>
    <row r="127" spans="1:13" x14ac:dyDescent="0.25">
      <c r="A127" s="1">
        <f t="shared" si="36"/>
        <v>90</v>
      </c>
      <c r="B127" s="112" t="str">
        <f>"Dec-"&amp;YEAR('A1 (FF1 Inputs)'!$E$12)+2</f>
        <v>Dec-2022</v>
      </c>
      <c r="C127" s="130">
        <f>EOMONTH(C115,11)</f>
        <v>44926</v>
      </c>
      <c r="D127" s="1">
        <f t="shared" si="41"/>
        <v>31</v>
      </c>
      <c r="E127" s="1">
        <v>1</v>
      </c>
      <c r="F127" s="1">
        <f t="shared" si="37"/>
        <v>365</v>
      </c>
      <c r="G127" s="110">
        <f t="shared" si="38"/>
        <v>2.7397260273972603E-3</v>
      </c>
      <c r="J127" s="41">
        <v>-14539.700767298229</v>
      </c>
      <c r="K127" s="41">
        <f t="shared" si="39"/>
        <v>-39.834796622734878</v>
      </c>
      <c r="L127" s="41">
        <f t="shared" si="42"/>
        <v>2915426.5458690715</v>
      </c>
    </row>
    <row r="128" spans="1:13" x14ac:dyDescent="0.25">
      <c r="A128" s="88">
        <f t="shared" si="36"/>
        <v>91</v>
      </c>
      <c r="B128" s="89" t="str">
        <f>"Total (Sum Lns. ("&amp;A115&amp;" through "&amp;A127&amp;"))"</f>
        <v>Total (Sum Lns. (78 through 90))</v>
      </c>
      <c r="C128" s="88"/>
      <c r="D128" s="89"/>
      <c r="E128" s="89"/>
      <c r="F128" s="89"/>
      <c r="G128" s="89"/>
      <c r="H128" s="89"/>
      <c r="I128" s="89"/>
      <c r="J128" s="90">
        <f>SUM(J116:J127)</f>
        <v>-174476.40920758527</v>
      </c>
      <c r="K128" s="90">
        <f>SUM(K116:K127)</f>
        <v>-80824.802347532124</v>
      </c>
      <c r="L128" s="90"/>
    </row>
    <row r="130" spans="1:12" x14ac:dyDescent="0.25">
      <c r="B130" s="132" t="s">
        <v>1156</v>
      </c>
    </row>
    <row r="131" spans="1:12" x14ac:dyDescent="0.25">
      <c r="A131" s="1">
        <f>A128+1</f>
        <v>92</v>
      </c>
      <c r="B131" s="127" t="str">
        <f>"Beginning of Year Balance ("&amp;'P6 (Excess and Deficient DIT)'!$AJ$1&amp;", Ln. "&amp;'P6 (Excess and Deficient DIT)'!$A$37&amp;", Col. [q])"</f>
        <v>Beginning of Year Balance (Worksheet P6, Ln. 8, Col. [q])</v>
      </c>
      <c r="L131" s="10">
        <f>'P6 (Excess and Deficient DIT)'!S37</f>
        <v>2987027.732477115</v>
      </c>
    </row>
    <row r="132" spans="1:12" x14ac:dyDescent="0.25">
      <c r="A132" s="1">
        <f>A131+1</f>
        <v>93</v>
      </c>
      <c r="B132" s="127" t="str">
        <f>"End of Year Balance ("&amp;'P6 (Excess and Deficient DIT)'!$AJ$1&amp;", Ln. "&amp;'P6 (Excess and Deficient DIT)'!$A$37&amp;", Col. [cc])"</f>
        <v>End of Year Balance (Worksheet P6, Ln. 8, Col. [cc])</v>
      </c>
      <c r="L132" s="64">
        <f>'P6 (Excess and Deficient DIT)'!AE37</f>
        <v>2240270.8516351297</v>
      </c>
    </row>
    <row r="133" spans="1:12" x14ac:dyDescent="0.25">
      <c r="A133" s="1">
        <f t="shared" ref="A133" si="43">A132+1</f>
        <v>94</v>
      </c>
      <c r="B133" s="127" t="str">
        <f>"Average of Beginning of Year and End of Year Balances (Average Lns. "&amp;A131&amp;" and "&amp;A132&amp;")"</f>
        <v>Average of Beginning of Year and End of Year Balances (Average Lns. 92 and 93)</v>
      </c>
      <c r="L133" s="10">
        <f>AVERAGE(L131,L132)</f>
        <v>2613649.2920561223</v>
      </c>
    </row>
    <row r="134" spans="1:12" x14ac:dyDescent="0.25">
      <c r="B134" s="132"/>
    </row>
    <row r="135" spans="1:12" x14ac:dyDescent="0.25">
      <c r="A135" s="1">
        <f>A133+1</f>
        <v>95</v>
      </c>
      <c r="B135" s="127" t="str">
        <f>"Total Deficient Deferred Income Taxes - Prorated Balance at End of Year (Ln. "&amp;A127&amp;", Col. [h])"</f>
        <v>Total Deficient Deferred Income Taxes - Prorated Balance at End of Year (Ln. 90, Col. [h])</v>
      </c>
      <c r="L135" s="10">
        <f>L127</f>
        <v>2915426.5458690715</v>
      </c>
    </row>
    <row r="136" spans="1:12" x14ac:dyDescent="0.25">
      <c r="B136" s="127"/>
    </row>
    <row r="137" spans="1:12" ht="16.5" thickBot="1" x14ac:dyDescent="0.3">
      <c r="A137" s="1">
        <f>A135+1</f>
        <v>96</v>
      </c>
      <c r="B137" s="127" t="str">
        <f>"Total Average Deficient Deferred Income Tax Balance (Lns. ("&amp;A133&amp;" + "&amp;A135&amp;"))"</f>
        <v>Total Average Deficient Deferred Income Tax Balance (Lns. (94 + 95))</v>
      </c>
      <c r="L137" s="133">
        <f>L133+L135</f>
        <v>5529075.8379251938</v>
      </c>
    </row>
    <row r="138" spans="1:12" x14ac:dyDescent="0.25">
      <c r="B138" s="127"/>
    </row>
    <row r="139" spans="1:12" ht="16.5" thickBot="1" x14ac:dyDescent="0.3">
      <c r="A139" s="136">
        <f>A137+1</f>
        <v>97</v>
      </c>
      <c r="B139" s="137" t="str">
        <f>"Total Average Projected Excess/Deficient Deferred Income Taxes for Network Transmission (Lns. ("&amp;A112&amp;" + "&amp;A137&amp;"))"</f>
        <v>Total Average Projected Excess/Deficient Deferred Income Taxes for Network Transmission (Lns. (77 + 96))</v>
      </c>
      <c r="C139" s="136"/>
      <c r="D139" s="137"/>
      <c r="E139" s="137"/>
      <c r="F139" s="137"/>
      <c r="G139" s="137"/>
      <c r="H139" s="137"/>
      <c r="I139" s="137"/>
      <c r="J139" s="137"/>
      <c r="K139" s="137"/>
      <c r="L139" s="138">
        <f>L112+L137</f>
        <v>-28175919.457702115</v>
      </c>
    </row>
    <row r="140" spans="1:12" ht="5.25" customHeight="1" x14ac:dyDescent="0.25">
      <c r="A140" s="14"/>
      <c r="B140" s="5"/>
      <c r="C140" s="14"/>
      <c r="D140" s="5"/>
      <c r="E140" s="5"/>
      <c r="F140" s="5"/>
      <c r="G140" s="5"/>
      <c r="H140" s="5"/>
      <c r="I140" s="5"/>
      <c r="J140" s="5"/>
      <c r="K140" s="5"/>
      <c r="L140" s="5"/>
    </row>
    <row r="141" spans="1:12" ht="5.25" customHeight="1" x14ac:dyDescent="0.25"/>
    <row r="142" spans="1:12" x14ac:dyDescent="0.25">
      <c r="A142" s="22" t="str">
        <f>note</f>
        <v>Notes and Sources:</v>
      </c>
    </row>
    <row r="143" spans="1:12" ht="18.75" x14ac:dyDescent="0.25">
      <c r="A143" s="23">
        <v>1</v>
      </c>
      <c r="B143" t="str">
        <f>"Columns [b] through [e] are automatically populated based on the year inputed on "&amp;'A1 (FF1 Inputs)'!E1&amp;", line "&amp;'A1 (FF1 Inputs)'!A13&amp;"."</f>
        <v>Columns [b] through [e] are automatically populated based on the year inputed on Worksheet A1, line 2.</v>
      </c>
    </row>
    <row r="144" spans="1:12" ht="37.5" customHeight="1" x14ac:dyDescent="0.25">
      <c r="A144" s="23">
        <v>2</v>
      </c>
      <c r="B144" s="274" t="str">
        <f>"See "&amp;'P5 (ADIT Balances)'!AF1&amp;", lines "&amp;'P5 (ADIT Balances)'!A42&amp;", "&amp;'P5 (ADIT Balances)'!A59&amp;", "&amp;'P5 (ADIT Balances)'!A79&amp;", columns [q] through [cc] for actual monthly ADIT activity. See "&amp;'P6 (Excess and Deficient DIT)'!AJ1&amp;", lines "&amp;'P6 (Excess and Deficient DIT)'!A23&amp;" and "&amp;'P6 (Excess and Deficient DIT)'!A35&amp;", columns [q] through [cc] for actual monthly excess and deficient deferred income tax activity."</f>
        <v>See Worksheet P5, lines 3, 7, 11, columns [q] through [cc] for actual monthly ADIT activity. See Worksheet P6, lines 3 and 7, columns [q] through [cc] for actual monthly excess and deficient deferred income tax activity.</v>
      </c>
      <c r="C144" s="274"/>
      <c r="D144" s="274"/>
      <c r="E144" s="274"/>
      <c r="F144" s="274"/>
      <c r="G144" s="274"/>
      <c r="H144" s="274"/>
      <c r="I144" s="274"/>
      <c r="J144" s="274"/>
      <c r="K144" s="274"/>
      <c r="L144" s="274"/>
    </row>
    <row r="145" spans="1:12" ht="5.25" customHeight="1" thickBot="1" x14ac:dyDescent="0.3">
      <c r="A145" s="24"/>
      <c r="B145" s="4"/>
      <c r="C145" s="24"/>
      <c r="D145" s="4"/>
      <c r="E145" s="4"/>
      <c r="F145" s="4"/>
      <c r="G145" s="4"/>
      <c r="H145" s="4"/>
      <c r="I145" s="4"/>
      <c r="J145" s="4"/>
      <c r="K145" s="4"/>
      <c r="L145" s="4"/>
    </row>
    <row r="146" spans="1:12" ht="5.25" customHeight="1" thickTop="1" x14ac:dyDescent="0.25"/>
  </sheetData>
  <mergeCells count="7">
    <mergeCell ref="B144:L144"/>
    <mergeCell ref="K7:K8"/>
    <mergeCell ref="L7:L8"/>
    <mergeCell ref="A7:A9"/>
    <mergeCell ref="B7:B8"/>
    <mergeCell ref="D7:G7"/>
    <mergeCell ref="J7:J8"/>
  </mergeCells>
  <pageMargins left="0.7" right="0.7" top="0.75" bottom="0.75" header="0.3" footer="0.3"/>
  <pageSetup scale="70" fitToHeight="0" orientation="portrait" horizontalDpi="1200" verticalDpi="1200" r:id="rId1"/>
  <headerFooter>
    <oddFooter>&amp;L&amp;6{W0327924.2 }</oddFooter>
  </headerFooter>
  <rowBreaks count="2" manualBreakCount="2">
    <brk id="60" max="16383" man="1"/>
    <brk id="112"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F91"/>
  <sheetViews>
    <sheetView workbookViewId="0"/>
  </sheetViews>
  <sheetFormatPr defaultRowHeight="15.75" x14ac:dyDescent="0.25"/>
  <cols>
    <col min="1" max="1" width="5" style="1" customWidth="1"/>
    <col min="2" max="2" width="66.25" customWidth="1"/>
    <col min="3" max="15" width="14.125" customWidth="1"/>
    <col min="16" max="16" width="8.625" customWidth="1"/>
    <col min="18" max="30" width="14.125" customWidth="1"/>
    <col min="31" max="31" width="11.625" customWidth="1"/>
    <col min="32" max="32" width="82.25" bestFit="1" customWidth="1"/>
    <col min="33" max="33" width="14.125" bestFit="1" customWidth="1"/>
  </cols>
  <sheetData>
    <row r="1" spans="1:32" x14ac:dyDescent="0.25">
      <c r="A1" s="6" t="str">
        <f>epe</f>
        <v>El Paso Electric Company</v>
      </c>
      <c r="O1" s="8" t="str">
        <f>$AF$1</f>
        <v>Worksheet P5</v>
      </c>
      <c r="AB1" s="8" t="str">
        <f>$AF$1</f>
        <v>Worksheet P5</v>
      </c>
      <c r="AF1" s="8" t="s">
        <v>907</v>
      </c>
    </row>
    <row r="2" spans="1:32" x14ac:dyDescent="0.25">
      <c r="A2" t="str">
        <f>frtp</f>
        <v>Formula Rate Template (Projected)</v>
      </c>
      <c r="O2" s="10"/>
    </row>
    <row r="3" spans="1:32" x14ac:dyDescent="0.25">
      <c r="A3" t="s">
        <v>774</v>
      </c>
      <c r="O3" s="10"/>
    </row>
    <row r="4" spans="1:32" x14ac:dyDescent="0.25">
      <c r="A4" t="str">
        <f>"12 Months Ended December 31, "&amp;YEAR('A1 (FF1 Inputs)'!$E$12)+2</f>
        <v>12 Months Ended December 31, 2022</v>
      </c>
    </row>
    <row r="5" spans="1:32"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row>
    <row r="6" spans="1:32" ht="5.25" customHeight="1" thickTop="1" x14ac:dyDescent="0.25">
      <c r="A6"/>
    </row>
    <row r="7" spans="1:32" s="40" customFormat="1" ht="15.75" customHeight="1" x14ac:dyDescent="0.25">
      <c r="A7" s="266" t="str">
        <f>ln</f>
        <v>Line No.</v>
      </c>
      <c r="B7" s="278" t="s">
        <v>2</v>
      </c>
      <c r="C7" s="276" t="s">
        <v>772</v>
      </c>
      <c r="D7" s="276"/>
      <c r="E7" s="276"/>
      <c r="F7" s="276"/>
      <c r="G7" s="276"/>
      <c r="H7" s="276"/>
      <c r="I7" s="276"/>
      <c r="J7" s="276"/>
      <c r="K7" s="276"/>
      <c r="L7" s="276"/>
      <c r="M7" s="276"/>
      <c r="N7" s="276"/>
      <c r="O7" s="276"/>
      <c r="P7" s="279" t="s">
        <v>393</v>
      </c>
      <c r="Q7" s="279"/>
      <c r="R7" s="276" t="s">
        <v>773</v>
      </c>
      <c r="S7" s="276"/>
      <c r="T7" s="276"/>
      <c r="U7" s="276"/>
      <c r="V7" s="276"/>
      <c r="W7" s="276"/>
      <c r="X7" s="276"/>
      <c r="Y7" s="276"/>
      <c r="Z7" s="276"/>
      <c r="AA7" s="276"/>
      <c r="AB7" s="276"/>
      <c r="AC7" s="276"/>
      <c r="AD7" s="276"/>
      <c r="AE7" s="280" t="s">
        <v>896</v>
      </c>
      <c r="AF7" s="278" t="s">
        <v>680</v>
      </c>
    </row>
    <row r="8" spans="1:32" s="40" customFormat="1" x14ac:dyDescent="0.25">
      <c r="A8" s="266"/>
      <c r="B8" s="278"/>
      <c r="C8" s="3" t="str">
        <f>"Dec-"&amp;YEAR('A1 (FF1 Inputs)'!$E$12)+1</f>
        <v>Dec-2021</v>
      </c>
      <c r="D8" s="3" t="str">
        <f>"Jan-"&amp;YEAR('A1 (FF1 Inputs)'!$E$12)+2</f>
        <v>Jan-2022</v>
      </c>
      <c r="E8" s="3" t="str">
        <f>"Feb-"&amp;YEAR('A1 (FF1 Inputs)'!$E$12)+2</f>
        <v>Feb-2022</v>
      </c>
      <c r="F8" s="3" t="str">
        <f>"Mar-"&amp;YEAR('A1 (FF1 Inputs)'!$E$12)+2</f>
        <v>Mar-2022</v>
      </c>
      <c r="G8" s="3" t="str">
        <f>"Apr-"&amp;YEAR('A1 (FF1 Inputs)'!$E$12)+2</f>
        <v>Apr-2022</v>
      </c>
      <c r="H8" s="3" t="str">
        <f>"May-"&amp;YEAR('A1 (FF1 Inputs)'!$E$12)+2</f>
        <v>May-2022</v>
      </c>
      <c r="I8" s="3" t="str">
        <f>"Jun-"&amp;YEAR('A1 (FF1 Inputs)'!$E$12)+2</f>
        <v>Jun-2022</v>
      </c>
      <c r="J8" s="3" t="str">
        <f>"Jul-"&amp;YEAR('A1 (FF1 Inputs)'!$E$12)+2</f>
        <v>Jul-2022</v>
      </c>
      <c r="K8" s="3" t="str">
        <f>"Aug-"&amp;YEAR('A1 (FF1 Inputs)'!$E$12)+2</f>
        <v>Aug-2022</v>
      </c>
      <c r="L8" s="3" t="str">
        <f>"Sep-"&amp;YEAR('A1 (FF1 Inputs)'!$E$12)+2</f>
        <v>Sep-2022</v>
      </c>
      <c r="M8" s="3" t="str">
        <f>"Oct-"&amp;YEAR('A1 (FF1 Inputs)'!$E$12)+2</f>
        <v>Oct-2022</v>
      </c>
      <c r="N8" s="3" t="str">
        <f>"Nov-"&amp;YEAR('A1 (FF1 Inputs)'!$E$12)+2</f>
        <v>Nov-2022</v>
      </c>
      <c r="O8" s="3" t="str">
        <f>"Dec-"&amp;YEAR('A1 (FF1 Inputs)'!$E$12)+2</f>
        <v>Dec-2022</v>
      </c>
      <c r="P8" s="3" t="s">
        <v>5</v>
      </c>
      <c r="Q8" s="3" t="s">
        <v>6</v>
      </c>
      <c r="R8" s="3" t="str">
        <f>"Dec-"&amp;YEAR('A1 (FF1 Inputs)'!$E$12)+1</f>
        <v>Dec-2021</v>
      </c>
      <c r="S8" s="3" t="str">
        <f>"Jan-"&amp;YEAR('A1 (FF1 Inputs)'!$E$12)+2</f>
        <v>Jan-2022</v>
      </c>
      <c r="T8" s="3" t="str">
        <f>"Feb-"&amp;YEAR('A1 (FF1 Inputs)'!$E$12)+2</f>
        <v>Feb-2022</v>
      </c>
      <c r="U8" s="3" t="str">
        <f>"Mar-"&amp;YEAR('A1 (FF1 Inputs)'!$E$12)+2</f>
        <v>Mar-2022</v>
      </c>
      <c r="V8" s="3" t="str">
        <f>"Apr-"&amp;YEAR('A1 (FF1 Inputs)'!$E$12)+2</f>
        <v>Apr-2022</v>
      </c>
      <c r="W8" s="3" t="str">
        <f>"May-"&amp;YEAR('A1 (FF1 Inputs)'!$E$12)+2</f>
        <v>May-2022</v>
      </c>
      <c r="X8" s="3" t="str">
        <f>"Jun-"&amp;YEAR('A1 (FF1 Inputs)'!$E$12)+2</f>
        <v>Jun-2022</v>
      </c>
      <c r="Y8" s="3" t="str">
        <f>"Jul-"&amp;YEAR('A1 (FF1 Inputs)'!$E$12)+2</f>
        <v>Jul-2022</v>
      </c>
      <c r="Z8" s="3" t="str">
        <f>"Aug-"&amp;YEAR('A1 (FF1 Inputs)'!$E$12)+2</f>
        <v>Aug-2022</v>
      </c>
      <c r="AA8" s="3" t="str">
        <f>"Sep-"&amp;YEAR('A1 (FF1 Inputs)'!$E$12)+2</f>
        <v>Sep-2022</v>
      </c>
      <c r="AB8" s="3" t="str">
        <f>"Oct-"&amp;YEAR('A1 (FF1 Inputs)'!$E$12)+2</f>
        <v>Oct-2022</v>
      </c>
      <c r="AC8" s="3" t="str">
        <f>"Nov-"&amp;YEAR('A1 (FF1 Inputs)'!$E$12)+2</f>
        <v>Nov-2022</v>
      </c>
      <c r="AD8" s="3" t="str">
        <f>"Dec-"&amp;YEAR('A1 (FF1 Inputs)'!$E$12)+2</f>
        <v>Dec-2022</v>
      </c>
      <c r="AE8" s="280"/>
      <c r="AF8" s="278"/>
    </row>
    <row r="9" spans="1:32" s="1" customFormat="1"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1" t="s">
        <v>395</v>
      </c>
      <c r="P9" s="2" t="s">
        <v>396</v>
      </c>
      <c r="Q9" s="2" t="s">
        <v>397</v>
      </c>
      <c r="R9" s="2" t="str">
        <f>"[q] = "&amp;C9&amp;" x "&amp;$Q$9</f>
        <v>[q] = [b] x [p]</v>
      </c>
      <c r="S9" s="2" t="str">
        <f>"[r] = "&amp;D9&amp;" x "&amp;$Q$9</f>
        <v>[r] = [c] x [p]</v>
      </c>
      <c r="T9" s="2" t="str">
        <f>"[s] = "&amp;E9&amp;" x "&amp;$Q$9</f>
        <v>[s] = [d] x [p]</v>
      </c>
      <c r="U9" s="2" t="str">
        <f>"[t] = "&amp;F9&amp;" x "&amp;$Q$9</f>
        <v>[t] = [e] x [p]</v>
      </c>
      <c r="V9" s="2" t="str">
        <f>"[u] = "&amp;G9&amp;" x "&amp;$Q$9</f>
        <v>[u] = [f] x [p]</v>
      </c>
      <c r="W9" s="2" t="str">
        <f>"[v] = "&amp;H9&amp;" x "&amp;$Q$9</f>
        <v>[v] = [g] x [p]</v>
      </c>
      <c r="X9" s="2" t="str">
        <f>"[w] = "&amp;I9&amp;" x "&amp;$Q$9</f>
        <v>[w] = [h] x [p]</v>
      </c>
      <c r="Y9" s="2" t="str">
        <f>"[x] = "&amp;J9&amp;" x "&amp;$Q$9</f>
        <v>[x] = [i] x [p]</v>
      </c>
      <c r="Z9" s="2" t="str">
        <f>"[y] = "&amp;K9&amp;" x "&amp;$Q$9</f>
        <v>[y] = [j] x [p]</v>
      </c>
      <c r="AA9" s="2" t="str">
        <f>"[z] = "&amp;L9&amp;" x "&amp;$Q$9</f>
        <v>[z] = [k] x [p]</v>
      </c>
      <c r="AB9" s="2" t="str">
        <f>"[aa] = "&amp;M9&amp;" x "&amp;$Q$9</f>
        <v>[aa] = [l] x [p]</v>
      </c>
      <c r="AC9" s="2" t="str">
        <f>"[bb] = "&amp;N9&amp;" x "&amp;$Q$9</f>
        <v>[bb] = [m] x [p]</v>
      </c>
      <c r="AD9" s="2" t="str">
        <f>"[cc] = "&amp;O9&amp;" x "&amp;$Q$9</f>
        <v>[cc] = [n] x [p]</v>
      </c>
      <c r="AE9" s="2" t="s">
        <v>636</v>
      </c>
      <c r="AF9" s="1" t="s">
        <v>637</v>
      </c>
    </row>
    <row r="10" spans="1:32"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row>
    <row r="11" spans="1:32" ht="5.25" customHeight="1" x14ac:dyDescent="0.25">
      <c r="A11"/>
    </row>
    <row r="12" spans="1:32" ht="18.75" x14ac:dyDescent="0.25">
      <c r="A12" s="89" t="s">
        <v>502</v>
      </c>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row>
    <row r="13" spans="1:32" x14ac:dyDescent="0.25">
      <c r="A13" s="31" t="s">
        <v>411</v>
      </c>
      <c r="B13" s="46" t="s">
        <v>693</v>
      </c>
      <c r="C13" s="37">
        <f>'A8 (ADIT Balances)'!O13</f>
        <v>-12</v>
      </c>
      <c r="D13" s="37">
        <f>C13</f>
        <v>-12</v>
      </c>
      <c r="E13" s="37">
        <f t="shared" ref="E13:O13" si="0">D13</f>
        <v>-12</v>
      </c>
      <c r="F13" s="37">
        <f t="shared" si="0"/>
        <v>-12</v>
      </c>
      <c r="G13" s="37">
        <f t="shared" si="0"/>
        <v>-12</v>
      </c>
      <c r="H13" s="37">
        <f t="shared" si="0"/>
        <v>-12</v>
      </c>
      <c r="I13" s="37">
        <f t="shared" si="0"/>
        <v>-12</v>
      </c>
      <c r="J13" s="37">
        <f t="shared" si="0"/>
        <v>-12</v>
      </c>
      <c r="K13" s="37">
        <f t="shared" si="0"/>
        <v>-12</v>
      </c>
      <c r="L13" s="37">
        <f t="shared" si="0"/>
        <v>-12</v>
      </c>
      <c r="M13" s="37">
        <f t="shared" si="0"/>
        <v>-12</v>
      </c>
      <c r="N13" s="37">
        <f t="shared" si="0"/>
        <v>-12</v>
      </c>
      <c r="O13" s="37">
        <f t="shared" si="0"/>
        <v>-12</v>
      </c>
      <c r="P13" s="114" t="s">
        <v>29</v>
      </c>
      <c r="Q13" s="119">
        <f>IFERROR(VLOOKUP(P13,'P12 (Allocation Factors)'!$D:$F,3,0),0)</f>
        <v>0</v>
      </c>
      <c r="R13" s="41">
        <f>C13*$Q13</f>
        <v>0</v>
      </c>
      <c r="S13" s="41">
        <f t="shared" ref="S13:AD28" si="1">D13*$Q13</f>
        <v>0</v>
      </c>
      <c r="T13" s="41">
        <f t="shared" si="1"/>
        <v>0</v>
      </c>
      <c r="U13" s="41">
        <f t="shared" si="1"/>
        <v>0</v>
      </c>
      <c r="V13" s="41">
        <f t="shared" si="1"/>
        <v>0</v>
      </c>
      <c r="W13" s="41">
        <f t="shared" si="1"/>
        <v>0</v>
      </c>
      <c r="X13" s="41">
        <f t="shared" si="1"/>
        <v>0</v>
      </c>
      <c r="Y13" s="41">
        <f t="shared" si="1"/>
        <v>0</v>
      </c>
      <c r="Z13" s="41">
        <f t="shared" si="1"/>
        <v>0</v>
      </c>
      <c r="AA13" s="41">
        <f t="shared" si="1"/>
        <v>0</v>
      </c>
      <c r="AB13" s="41">
        <f t="shared" si="1"/>
        <v>0</v>
      </c>
      <c r="AC13" s="41">
        <f t="shared" si="1"/>
        <v>0</v>
      </c>
      <c r="AD13" s="41">
        <f t="shared" si="1"/>
        <v>0</v>
      </c>
      <c r="AE13" s="31" t="s">
        <v>786</v>
      </c>
      <c r="AF13" s="46" t="s">
        <v>898</v>
      </c>
    </row>
    <row r="14" spans="1:32" x14ac:dyDescent="0.25">
      <c r="A14" s="31" t="s">
        <v>412</v>
      </c>
      <c r="B14" s="46" t="s">
        <v>479</v>
      </c>
      <c r="C14" s="37">
        <f>'A8 (ADIT Balances)'!O14</f>
        <v>3495072.86</v>
      </c>
      <c r="D14" s="37">
        <f t="shared" ref="D14:O14" si="2">C14</f>
        <v>3495072.86</v>
      </c>
      <c r="E14" s="37">
        <f t="shared" si="2"/>
        <v>3495072.86</v>
      </c>
      <c r="F14" s="37">
        <f t="shared" si="2"/>
        <v>3495072.86</v>
      </c>
      <c r="G14" s="37">
        <f t="shared" si="2"/>
        <v>3495072.86</v>
      </c>
      <c r="H14" s="37">
        <f t="shared" si="2"/>
        <v>3495072.86</v>
      </c>
      <c r="I14" s="37">
        <f t="shared" si="2"/>
        <v>3495072.86</v>
      </c>
      <c r="J14" s="37">
        <f t="shared" si="2"/>
        <v>3495072.86</v>
      </c>
      <c r="K14" s="37">
        <f t="shared" si="2"/>
        <v>3495072.86</v>
      </c>
      <c r="L14" s="37">
        <f t="shared" si="2"/>
        <v>3495072.86</v>
      </c>
      <c r="M14" s="37">
        <f t="shared" si="2"/>
        <v>3495072.86</v>
      </c>
      <c r="N14" s="37">
        <f t="shared" si="2"/>
        <v>3495072.86</v>
      </c>
      <c r="O14" s="37">
        <f t="shared" si="2"/>
        <v>3495072.86</v>
      </c>
      <c r="P14" s="115" t="s">
        <v>29</v>
      </c>
      <c r="Q14" s="119">
        <f>IFERROR(VLOOKUP(P14,'P12 (Allocation Factors)'!$D:$F,3,0),0)</f>
        <v>0</v>
      </c>
      <c r="R14" s="41">
        <f t="shared" ref="R14:AD39" si="3">C14*$Q14</f>
        <v>0</v>
      </c>
      <c r="S14" s="41">
        <f t="shared" si="1"/>
        <v>0</v>
      </c>
      <c r="T14" s="41">
        <f t="shared" si="1"/>
        <v>0</v>
      </c>
      <c r="U14" s="41">
        <f t="shared" si="1"/>
        <v>0</v>
      </c>
      <c r="V14" s="41">
        <f t="shared" si="1"/>
        <v>0</v>
      </c>
      <c r="W14" s="41">
        <f t="shared" si="1"/>
        <v>0</v>
      </c>
      <c r="X14" s="41">
        <f t="shared" si="1"/>
        <v>0</v>
      </c>
      <c r="Y14" s="41">
        <f t="shared" si="1"/>
        <v>0</v>
      </c>
      <c r="Z14" s="41">
        <f t="shared" si="1"/>
        <v>0</v>
      </c>
      <c r="AA14" s="41">
        <f t="shared" si="1"/>
        <v>0</v>
      </c>
      <c r="AB14" s="41">
        <f t="shared" si="1"/>
        <v>0</v>
      </c>
      <c r="AC14" s="41">
        <f t="shared" si="1"/>
        <v>0</v>
      </c>
      <c r="AD14" s="41">
        <f t="shared" si="1"/>
        <v>0</v>
      </c>
      <c r="AE14" s="31" t="s">
        <v>786</v>
      </c>
      <c r="AF14" s="46" t="s">
        <v>766</v>
      </c>
    </row>
    <row r="15" spans="1:32" x14ac:dyDescent="0.25">
      <c r="A15" s="31" t="s">
        <v>413</v>
      </c>
      <c r="B15" s="46" t="s">
        <v>480</v>
      </c>
      <c r="C15" s="37">
        <f>'A8 (ADIT Balances)'!O15</f>
        <v>-157781</v>
      </c>
      <c r="D15" s="37">
        <f t="shared" ref="D15:O15" si="4">C15</f>
        <v>-157781</v>
      </c>
      <c r="E15" s="37">
        <f t="shared" si="4"/>
        <v>-157781</v>
      </c>
      <c r="F15" s="37">
        <f t="shared" si="4"/>
        <v>-157781</v>
      </c>
      <c r="G15" s="37">
        <f t="shared" si="4"/>
        <v>-157781</v>
      </c>
      <c r="H15" s="37">
        <f t="shared" si="4"/>
        <v>-157781</v>
      </c>
      <c r="I15" s="37">
        <f t="shared" si="4"/>
        <v>-157781</v>
      </c>
      <c r="J15" s="37">
        <f t="shared" si="4"/>
        <v>-157781</v>
      </c>
      <c r="K15" s="37">
        <f t="shared" si="4"/>
        <v>-157781</v>
      </c>
      <c r="L15" s="37">
        <f t="shared" si="4"/>
        <v>-157781</v>
      </c>
      <c r="M15" s="37">
        <f t="shared" si="4"/>
        <v>-157781</v>
      </c>
      <c r="N15" s="37">
        <f t="shared" si="4"/>
        <v>-157781</v>
      </c>
      <c r="O15" s="37">
        <f t="shared" si="4"/>
        <v>-157781</v>
      </c>
      <c r="P15" s="115" t="s">
        <v>29</v>
      </c>
      <c r="Q15" s="119">
        <f>IFERROR(VLOOKUP(P15,'P12 (Allocation Factors)'!$D:$F,3,0),0)</f>
        <v>0</v>
      </c>
      <c r="R15" s="41">
        <f t="shared" si="3"/>
        <v>0</v>
      </c>
      <c r="S15" s="41">
        <f t="shared" si="1"/>
        <v>0</v>
      </c>
      <c r="T15" s="41">
        <f t="shared" si="1"/>
        <v>0</v>
      </c>
      <c r="U15" s="41">
        <f t="shared" si="1"/>
        <v>0</v>
      </c>
      <c r="V15" s="41">
        <f t="shared" si="1"/>
        <v>0</v>
      </c>
      <c r="W15" s="41">
        <f t="shared" si="1"/>
        <v>0</v>
      </c>
      <c r="X15" s="41">
        <f t="shared" si="1"/>
        <v>0</v>
      </c>
      <c r="Y15" s="41">
        <f t="shared" si="1"/>
        <v>0</v>
      </c>
      <c r="Z15" s="41">
        <f t="shared" si="1"/>
        <v>0</v>
      </c>
      <c r="AA15" s="41">
        <f t="shared" si="1"/>
        <v>0</v>
      </c>
      <c r="AB15" s="41">
        <f t="shared" si="1"/>
        <v>0</v>
      </c>
      <c r="AC15" s="41">
        <f t="shared" si="1"/>
        <v>0</v>
      </c>
      <c r="AD15" s="41">
        <f t="shared" si="1"/>
        <v>0</v>
      </c>
      <c r="AE15" s="31" t="s">
        <v>786</v>
      </c>
      <c r="AF15" s="46" t="s">
        <v>766</v>
      </c>
    </row>
    <row r="16" spans="1:32" x14ac:dyDescent="0.25">
      <c r="A16" s="31" t="s">
        <v>456</v>
      </c>
      <c r="B16" s="46" t="s">
        <v>481</v>
      </c>
      <c r="C16" s="37">
        <f>'A8 (ADIT Balances)'!O16</f>
        <v>10873999</v>
      </c>
      <c r="D16" s="37">
        <f t="shared" ref="D16:O16" si="5">C16</f>
        <v>10873999</v>
      </c>
      <c r="E16" s="37">
        <f t="shared" si="5"/>
        <v>10873999</v>
      </c>
      <c r="F16" s="37">
        <f t="shared" si="5"/>
        <v>10873999</v>
      </c>
      <c r="G16" s="37">
        <f t="shared" si="5"/>
        <v>10873999</v>
      </c>
      <c r="H16" s="37">
        <f t="shared" si="5"/>
        <v>10873999</v>
      </c>
      <c r="I16" s="37">
        <f t="shared" si="5"/>
        <v>10873999</v>
      </c>
      <c r="J16" s="37">
        <f t="shared" si="5"/>
        <v>10873999</v>
      </c>
      <c r="K16" s="37">
        <f t="shared" si="5"/>
        <v>10873999</v>
      </c>
      <c r="L16" s="37">
        <f t="shared" si="5"/>
        <v>10873999</v>
      </c>
      <c r="M16" s="37">
        <f t="shared" si="5"/>
        <v>10873999</v>
      </c>
      <c r="N16" s="37">
        <f t="shared" si="5"/>
        <v>10873999</v>
      </c>
      <c r="O16" s="37">
        <f t="shared" si="5"/>
        <v>10873999</v>
      </c>
      <c r="P16" s="115" t="s">
        <v>29</v>
      </c>
      <c r="Q16" s="119">
        <f>IFERROR(VLOOKUP(P16,'P12 (Allocation Factors)'!$D:$F,3,0),0)</f>
        <v>0</v>
      </c>
      <c r="R16" s="41">
        <f t="shared" si="3"/>
        <v>0</v>
      </c>
      <c r="S16" s="41">
        <f t="shared" si="1"/>
        <v>0</v>
      </c>
      <c r="T16" s="41">
        <f t="shared" si="1"/>
        <v>0</v>
      </c>
      <c r="U16" s="41">
        <f t="shared" si="1"/>
        <v>0</v>
      </c>
      <c r="V16" s="41">
        <f t="shared" si="1"/>
        <v>0</v>
      </c>
      <c r="W16" s="41">
        <f t="shared" si="1"/>
        <v>0</v>
      </c>
      <c r="X16" s="41">
        <f t="shared" si="1"/>
        <v>0</v>
      </c>
      <c r="Y16" s="41">
        <f t="shared" si="1"/>
        <v>0</v>
      </c>
      <c r="Z16" s="41">
        <f t="shared" si="1"/>
        <v>0</v>
      </c>
      <c r="AA16" s="41">
        <f t="shared" si="1"/>
        <v>0</v>
      </c>
      <c r="AB16" s="41">
        <f t="shared" si="1"/>
        <v>0</v>
      </c>
      <c r="AC16" s="41">
        <f t="shared" si="1"/>
        <v>0</v>
      </c>
      <c r="AD16" s="41">
        <f t="shared" si="1"/>
        <v>0</v>
      </c>
      <c r="AE16" s="31" t="s">
        <v>786</v>
      </c>
      <c r="AF16" s="46" t="s">
        <v>766</v>
      </c>
    </row>
    <row r="17" spans="1:32" x14ac:dyDescent="0.25">
      <c r="A17" s="31" t="s">
        <v>457</v>
      </c>
      <c r="B17" s="46" t="s">
        <v>482</v>
      </c>
      <c r="C17" s="37">
        <f>'A8 (ADIT Balances)'!O17</f>
        <v>31998603.690000001</v>
      </c>
      <c r="D17" s="37">
        <f t="shared" ref="D17:O17" si="6">C17</f>
        <v>31998603.690000001</v>
      </c>
      <c r="E17" s="37">
        <f t="shared" si="6"/>
        <v>31998603.690000001</v>
      </c>
      <c r="F17" s="37">
        <f t="shared" si="6"/>
        <v>31998603.690000001</v>
      </c>
      <c r="G17" s="37">
        <f t="shared" si="6"/>
        <v>31998603.690000001</v>
      </c>
      <c r="H17" s="37">
        <f t="shared" si="6"/>
        <v>31998603.690000001</v>
      </c>
      <c r="I17" s="37">
        <f t="shared" si="6"/>
        <v>31998603.690000001</v>
      </c>
      <c r="J17" s="37">
        <f t="shared" si="6"/>
        <v>31998603.690000001</v>
      </c>
      <c r="K17" s="37">
        <f t="shared" si="6"/>
        <v>31998603.690000001</v>
      </c>
      <c r="L17" s="37">
        <f t="shared" si="6"/>
        <v>31998603.690000001</v>
      </c>
      <c r="M17" s="37">
        <f t="shared" si="6"/>
        <v>31998603.690000001</v>
      </c>
      <c r="N17" s="37">
        <f t="shared" si="6"/>
        <v>31998603.690000001</v>
      </c>
      <c r="O17" s="37">
        <f t="shared" si="6"/>
        <v>31998603.690000001</v>
      </c>
      <c r="P17" s="115" t="s">
        <v>333</v>
      </c>
      <c r="Q17" s="119">
        <f>IFERROR(VLOOKUP(P17,'P12 (Allocation Factors)'!$D:$F,3,0),0)</f>
        <v>0.13393681565544452</v>
      </c>
      <c r="R17" s="41">
        <f t="shared" si="3"/>
        <v>4285791.0836591572</v>
      </c>
      <c r="S17" s="41">
        <f t="shared" si="1"/>
        <v>4285791.0836591572</v>
      </c>
      <c r="T17" s="41">
        <f t="shared" si="1"/>
        <v>4285791.0836591572</v>
      </c>
      <c r="U17" s="41">
        <f t="shared" si="1"/>
        <v>4285791.0836591572</v>
      </c>
      <c r="V17" s="41">
        <f t="shared" si="1"/>
        <v>4285791.0836591572</v>
      </c>
      <c r="W17" s="41">
        <f t="shared" si="1"/>
        <v>4285791.0836591572</v>
      </c>
      <c r="X17" s="41">
        <f t="shared" si="1"/>
        <v>4285791.0836591572</v>
      </c>
      <c r="Y17" s="41">
        <f t="shared" si="1"/>
        <v>4285791.0836591572</v>
      </c>
      <c r="Z17" s="41">
        <f t="shared" si="1"/>
        <v>4285791.0836591572</v>
      </c>
      <c r="AA17" s="41">
        <f t="shared" si="1"/>
        <v>4285791.0836591572</v>
      </c>
      <c r="AB17" s="41">
        <f t="shared" si="1"/>
        <v>4285791.0836591572</v>
      </c>
      <c r="AC17" s="41">
        <f t="shared" si="1"/>
        <v>4285791.0836591572</v>
      </c>
      <c r="AD17" s="41">
        <f t="shared" si="1"/>
        <v>4285791.0836591572</v>
      </c>
      <c r="AE17" s="31" t="s">
        <v>785</v>
      </c>
      <c r="AF17" s="46" t="s">
        <v>899</v>
      </c>
    </row>
    <row r="18" spans="1:32" x14ac:dyDescent="0.25">
      <c r="A18" s="31" t="s">
        <v>458</v>
      </c>
      <c r="B18" s="46" t="s">
        <v>483</v>
      </c>
      <c r="C18" s="37">
        <f>'A8 (ADIT Balances)'!O18</f>
        <v>9933106.8399999999</v>
      </c>
      <c r="D18" s="37">
        <f t="shared" ref="D18:O18" si="7">C18</f>
        <v>9933106.8399999999</v>
      </c>
      <c r="E18" s="37">
        <f t="shared" si="7"/>
        <v>9933106.8399999999</v>
      </c>
      <c r="F18" s="37">
        <f t="shared" si="7"/>
        <v>9933106.8399999999</v>
      </c>
      <c r="G18" s="37">
        <f t="shared" si="7"/>
        <v>9933106.8399999999</v>
      </c>
      <c r="H18" s="37">
        <f t="shared" si="7"/>
        <v>9933106.8399999999</v>
      </c>
      <c r="I18" s="37">
        <f t="shared" si="7"/>
        <v>9933106.8399999999</v>
      </c>
      <c r="J18" s="37">
        <f t="shared" si="7"/>
        <v>9933106.8399999999</v>
      </c>
      <c r="K18" s="37">
        <f t="shared" si="7"/>
        <v>9933106.8399999999</v>
      </c>
      <c r="L18" s="37">
        <f t="shared" si="7"/>
        <v>9933106.8399999999</v>
      </c>
      <c r="M18" s="37">
        <f t="shared" si="7"/>
        <v>9933106.8399999999</v>
      </c>
      <c r="N18" s="37">
        <f t="shared" si="7"/>
        <v>9933106.8399999999</v>
      </c>
      <c r="O18" s="37">
        <f t="shared" si="7"/>
        <v>9933106.8399999999</v>
      </c>
      <c r="P18" s="115" t="s">
        <v>29</v>
      </c>
      <c r="Q18" s="119">
        <f>IFERROR(VLOOKUP(P18,'P12 (Allocation Factors)'!$D:$F,3,0),0)</f>
        <v>0</v>
      </c>
      <c r="R18" s="41">
        <f t="shared" si="3"/>
        <v>0</v>
      </c>
      <c r="S18" s="41">
        <f t="shared" si="1"/>
        <v>0</v>
      </c>
      <c r="T18" s="41">
        <f t="shared" si="1"/>
        <v>0</v>
      </c>
      <c r="U18" s="41">
        <f t="shared" si="1"/>
        <v>0</v>
      </c>
      <c r="V18" s="41">
        <f t="shared" si="1"/>
        <v>0</v>
      </c>
      <c r="W18" s="41">
        <f t="shared" si="1"/>
        <v>0</v>
      </c>
      <c r="X18" s="41">
        <f t="shared" si="1"/>
        <v>0</v>
      </c>
      <c r="Y18" s="41">
        <f t="shared" si="1"/>
        <v>0</v>
      </c>
      <c r="Z18" s="41">
        <f t="shared" si="1"/>
        <v>0</v>
      </c>
      <c r="AA18" s="41">
        <f t="shared" si="1"/>
        <v>0</v>
      </c>
      <c r="AB18" s="41">
        <f t="shared" si="1"/>
        <v>0</v>
      </c>
      <c r="AC18" s="41">
        <f t="shared" si="1"/>
        <v>0</v>
      </c>
      <c r="AD18" s="41">
        <f t="shared" si="1"/>
        <v>0</v>
      </c>
      <c r="AE18" s="31" t="s">
        <v>785</v>
      </c>
      <c r="AF18" s="46" t="s">
        <v>694</v>
      </c>
    </row>
    <row r="19" spans="1:32" x14ac:dyDescent="0.25">
      <c r="A19" s="31" t="s">
        <v>459</v>
      </c>
      <c r="B19" s="46" t="s">
        <v>484</v>
      </c>
      <c r="C19" s="37">
        <f>'A8 (ADIT Balances)'!O19</f>
        <v>-1562734.05</v>
      </c>
      <c r="D19" s="37">
        <f t="shared" ref="D19:O19" si="8">C19</f>
        <v>-1562734.05</v>
      </c>
      <c r="E19" s="37">
        <f t="shared" si="8"/>
        <v>-1562734.05</v>
      </c>
      <c r="F19" s="37">
        <f t="shared" si="8"/>
        <v>-1562734.05</v>
      </c>
      <c r="G19" s="37">
        <f t="shared" si="8"/>
        <v>-1562734.05</v>
      </c>
      <c r="H19" s="37">
        <f t="shared" si="8"/>
        <v>-1562734.05</v>
      </c>
      <c r="I19" s="37">
        <f t="shared" si="8"/>
        <v>-1562734.05</v>
      </c>
      <c r="J19" s="37">
        <f t="shared" si="8"/>
        <v>-1562734.05</v>
      </c>
      <c r="K19" s="37">
        <f t="shared" si="8"/>
        <v>-1562734.05</v>
      </c>
      <c r="L19" s="37">
        <f t="shared" si="8"/>
        <v>-1562734.05</v>
      </c>
      <c r="M19" s="37">
        <f t="shared" si="8"/>
        <v>-1562734.05</v>
      </c>
      <c r="N19" s="37">
        <f t="shared" si="8"/>
        <v>-1562734.05</v>
      </c>
      <c r="O19" s="37">
        <f t="shared" si="8"/>
        <v>-1562734.05</v>
      </c>
      <c r="P19" s="115" t="s">
        <v>29</v>
      </c>
      <c r="Q19" s="119">
        <f>IFERROR(VLOOKUP(P19,'P12 (Allocation Factors)'!$D:$F,3,0),0)</f>
        <v>0</v>
      </c>
      <c r="R19" s="41">
        <f t="shared" si="3"/>
        <v>0</v>
      </c>
      <c r="S19" s="41">
        <f t="shared" si="1"/>
        <v>0</v>
      </c>
      <c r="T19" s="41">
        <f t="shared" si="1"/>
        <v>0</v>
      </c>
      <c r="U19" s="41">
        <f t="shared" si="1"/>
        <v>0</v>
      </c>
      <c r="V19" s="41">
        <f t="shared" si="1"/>
        <v>0</v>
      </c>
      <c r="W19" s="41">
        <f t="shared" si="1"/>
        <v>0</v>
      </c>
      <c r="X19" s="41">
        <f t="shared" si="1"/>
        <v>0</v>
      </c>
      <c r="Y19" s="41">
        <f t="shared" si="1"/>
        <v>0</v>
      </c>
      <c r="Z19" s="41">
        <f t="shared" si="1"/>
        <v>0</v>
      </c>
      <c r="AA19" s="41">
        <f t="shared" si="1"/>
        <v>0</v>
      </c>
      <c r="AB19" s="41">
        <f t="shared" si="1"/>
        <v>0</v>
      </c>
      <c r="AC19" s="41">
        <f t="shared" si="1"/>
        <v>0</v>
      </c>
      <c r="AD19" s="41">
        <f t="shared" si="1"/>
        <v>0</v>
      </c>
      <c r="AE19" s="31" t="s">
        <v>786</v>
      </c>
      <c r="AF19" s="46" t="s">
        <v>696</v>
      </c>
    </row>
    <row r="20" spans="1:32" x14ac:dyDescent="0.25">
      <c r="A20" s="31" t="s">
        <v>460</v>
      </c>
      <c r="B20" s="46" t="s">
        <v>485</v>
      </c>
      <c r="C20" s="37">
        <f>'A8 (ADIT Balances)'!O20</f>
        <v>1359443.82</v>
      </c>
      <c r="D20" s="37">
        <f t="shared" ref="D20:O20" si="9">C20</f>
        <v>1359443.82</v>
      </c>
      <c r="E20" s="37">
        <f t="shared" si="9"/>
        <v>1359443.82</v>
      </c>
      <c r="F20" s="37">
        <f t="shared" si="9"/>
        <v>1359443.82</v>
      </c>
      <c r="G20" s="37">
        <f t="shared" si="9"/>
        <v>1359443.82</v>
      </c>
      <c r="H20" s="37">
        <f t="shared" si="9"/>
        <v>1359443.82</v>
      </c>
      <c r="I20" s="37">
        <f t="shared" si="9"/>
        <v>1359443.82</v>
      </c>
      <c r="J20" s="37">
        <f t="shared" si="9"/>
        <v>1359443.82</v>
      </c>
      <c r="K20" s="37">
        <f t="shared" si="9"/>
        <v>1359443.82</v>
      </c>
      <c r="L20" s="37">
        <f t="shared" si="9"/>
        <v>1359443.82</v>
      </c>
      <c r="M20" s="37">
        <f t="shared" si="9"/>
        <v>1359443.82</v>
      </c>
      <c r="N20" s="37">
        <f t="shared" si="9"/>
        <v>1359443.82</v>
      </c>
      <c r="O20" s="37">
        <f t="shared" si="9"/>
        <v>1359443.82</v>
      </c>
      <c r="P20" s="115" t="s">
        <v>333</v>
      </c>
      <c r="Q20" s="119">
        <f>IFERROR(VLOOKUP(P20,'P12 (Allocation Factors)'!$D:$F,3,0),0)</f>
        <v>0.13393681565544452</v>
      </c>
      <c r="R20" s="41">
        <f t="shared" si="3"/>
        <v>182079.57631327331</v>
      </c>
      <c r="S20" s="41">
        <f t="shared" si="1"/>
        <v>182079.57631327331</v>
      </c>
      <c r="T20" s="41">
        <f t="shared" si="1"/>
        <v>182079.57631327331</v>
      </c>
      <c r="U20" s="41">
        <f t="shared" si="1"/>
        <v>182079.57631327331</v>
      </c>
      <c r="V20" s="41">
        <f t="shared" si="1"/>
        <v>182079.57631327331</v>
      </c>
      <c r="W20" s="41">
        <f t="shared" si="1"/>
        <v>182079.57631327331</v>
      </c>
      <c r="X20" s="41">
        <f t="shared" si="1"/>
        <v>182079.57631327331</v>
      </c>
      <c r="Y20" s="41">
        <f t="shared" si="1"/>
        <v>182079.57631327331</v>
      </c>
      <c r="Z20" s="41">
        <f t="shared" si="1"/>
        <v>182079.57631327331</v>
      </c>
      <c r="AA20" s="41">
        <f t="shared" si="1"/>
        <v>182079.57631327331</v>
      </c>
      <c r="AB20" s="41">
        <f t="shared" si="1"/>
        <v>182079.57631327331</v>
      </c>
      <c r="AC20" s="41">
        <f t="shared" si="1"/>
        <v>182079.57631327331</v>
      </c>
      <c r="AD20" s="41">
        <f t="shared" si="1"/>
        <v>182079.57631327331</v>
      </c>
      <c r="AE20" s="31" t="s">
        <v>785</v>
      </c>
      <c r="AF20" s="46" t="s">
        <v>770</v>
      </c>
    </row>
    <row r="21" spans="1:32" x14ac:dyDescent="0.25">
      <c r="A21" s="31" t="s">
        <v>461</v>
      </c>
      <c r="B21" s="46" t="s">
        <v>486</v>
      </c>
      <c r="C21" s="37">
        <f>'A8 (ADIT Balances)'!O21</f>
        <v>0</v>
      </c>
      <c r="D21" s="37">
        <f t="shared" ref="D21:O21" si="10">C21</f>
        <v>0</v>
      </c>
      <c r="E21" s="37">
        <f t="shared" si="10"/>
        <v>0</v>
      </c>
      <c r="F21" s="37">
        <f t="shared" si="10"/>
        <v>0</v>
      </c>
      <c r="G21" s="37">
        <f t="shared" si="10"/>
        <v>0</v>
      </c>
      <c r="H21" s="37">
        <f t="shared" si="10"/>
        <v>0</v>
      </c>
      <c r="I21" s="37">
        <f t="shared" si="10"/>
        <v>0</v>
      </c>
      <c r="J21" s="37">
        <f t="shared" si="10"/>
        <v>0</v>
      </c>
      <c r="K21" s="37">
        <f t="shared" si="10"/>
        <v>0</v>
      </c>
      <c r="L21" s="37">
        <f t="shared" si="10"/>
        <v>0</v>
      </c>
      <c r="M21" s="37">
        <f t="shared" si="10"/>
        <v>0</v>
      </c>
      <c r="N21" s="37">
        <f t="shared" si="10"/>
        <v>0</v>
      </c>
      <c r="O21" s="37">
        <f t="shared" si="10"/>
        <v>0</v>
      </c>
      <c r="P21" s="115" t="s">
        <v>29</v>
      </c>
      <c r="Q21" s="119">
        <f>IFERROR(VLOOKUP(P21,'P12 (Allocation Factors)'!$D:$F,3,0),0)</f>
        <v>0</v>
      </c>
      <c r="R21" s="41">
        <f t="shared" si="3"/>
        <v>0</v>
      </c>
      <c r="S21" s="41">
        <f t="shared" si="1"/>
        <v>0</v>
      </c>
      <c r="T21" s="41">
        <f t="shared" si="1"/>
        <v>0</v>
      </c>
      <c r="U21" s="41">
        <f t="shared" si="1"/>
        <v>0</v>
      </c>
      <c r="V21" s="41">
        <f t="shared" si="1"/>
        <v>0</v>
      </c>
      <c r="W21" s="41">
        <f t="shared" si="1"/>
        <v>0</v>
      </c>
      <c r="X21" s="41">
        <f t="shared" si="1"/>
        <v>0</v>
      </c>
      <c r="Y21" s="41">
        <f t="shared" si="1"/>
        <v>0</v>
      </c>
      <c r="Z21" s="41">
        <f t="shared" si="1"/>
        <v>0</v>
      </c>
      <c r="AA21" s="41">
        <f t="shared" si="1"/>
        <v>0</v>
      </c>
      <c r="AB21" s="41">
        <f t="shared" si="1"/>
        <v>0</v>
      </c>
      <c r="AC21" s="41">
        <f t="shared" si="1"/>
        <v>0</v>
      </c>
      <c r="AD21" s="41">
        <f t="shared" si="1"/>
        <v>0</v>
      </c>
      <c r="AE21" s="31" t="s">
        <v>786</v>
      </c>
      <c r="AF21" s="46" t="s">
        <v>767</v>
      </c>
    </row>
    <row r="22" spans="1:32" x14ac:dyDescent="0.25">
      <c r="A22" s="31" t="s">
        <v>462</v>
      </c>
      <c r="B22" s="46" t="s">
        <v>487</v>
      </c>
      <c r="C22" s="37">
        <f>'A8 (ADIT Balances)'!O22</f>
        <v>311589.31</v>
      </c>
      <c r="D22" s="37">
        <f t="shared" ref="D22:O22" si="11">C22</f>
        <v>311589.31</v>
      </c>
      <c r="E22" s="37">
        <f t="shared" si="11"/>
        <v>311589.31</v>
      </c>
      <c r="F22" s="37">
        <f t="shared" si="11"/>
        <v>311589.31</v>
      </c>
      <c r="G22" s="37">
        <f t="shared" si="11"/>
        <v>311589.31</v>
      </c>
      <c r="H22" s="37">
        <f t="shared" si="11"/>
        <v>311589.31</v>
      </c>
      <c r="I22" s="37">
        <f t="shared" si="11"/>
        <v>311589.31</v>
      </c>
      <c r="J22" s="37">
        <f t="shared" si="11"/>
        <v>311589.31</v>
      </c>
      <c r="K22" s="37">
        <f t="shared" si="11"/>
        <v>311589.31</v>
      </c>
      <c r="L22" s="37">
        <f t="shared" si="11"/>
        <v>311589.31</v>
      </c>
      <c r="M22" s="37">
        <f t="shared" si="11"/>
        <v>311589.31</v>
      </c>
      <c r="N22" s="37">
        <f t="shared" si="11"/>
        <v>311589.31</v>
      </c>
      <c r="O22" s="37">
        <f t="shared" si="11"/>
        <v>311589.31</v>
      </c>
      <c r="P22" s="115" t="s">
        <v>29</v>
      </c>
      <c r="Q22" s="119">
        <f>IFERROR(VLOOKUP(P22,'P12 (Allocation Factors)'!$D:$F,3,0),0)</f>
        <v>0</v>
      </c>
      <c r="R22" s="41">
        <f t="shared" si="3"/>
        <v>0</v>
      </c>
      <c r="S22" s="41">
        <f t="shared" si="1"/>
        <v>0</v>
      </c>
      <c r="T22" s="41">
        <f t="shared" si="1"/>
        <v>0</v>
      </c>
      <c r="U22" s="41">
        <f t="shared" si="1"/>
        <v>0</v>
      </c>
      <c r="V22" s="41">
        <f t="shared" si="1"/>
        <v>0</v>
      </c>
      <c r="W22" s="41">
        <f t="shared" si="1"/>
        <v>0</v>
      </c>
      <c r="X22" s="41">
        <f t="shared" si="1"/>
        <v>0</v>
      </c>
      <c r="Y22" s="41">
        <f t="shared" si="1"/>
        <v>0</v>
      </c>
      <c r="Z22" s="41">
        <f t="shared" si="1"/>
        <v>0</v>
      </c>
      <c r="AA22" s="41">
        <f t="shared" si="1"/>
        <v>0</v>
      </c>
      <c r="AB22" s="41">
        <f t="shared" si="1"/>
        <v>0</v>
      </c>
      <c r="AC22" s="41">
        <f t="shared" si="1"/>
        <v>0</v>
      </c>
      <c r="AD22" s="41">
        <f t="shared" si="1"/>
        <v>0</v>
      </c>
      <c r="AE22" s="31" t="s">
        <v>786</v>
      </c>
      <c r="AF22" s="46" t="s">
        <v>767</v>
      </c>
    </row>
    <row r="23" spans="1:32" x14ac:dyDescent="0.25">
      <c r="A23" s="31" t="s">
        <v>463</v>
      </c>
      <c r="B23" s="46" t="s">
        <v>488</v>
      </c>
      <c r="C23" s="37">
        <f>'A8 (ADIT Balances)'!O23</f>
        <v>1.1299999999999999</v>
      </c>
      <c r="D23" s="37">
        <f t="shared" ref="D23:O23" si="12">C23</f>
        <v>1.1299999999999999</v>
      </c>
      <c r="E23" s="37">
        <f t="shared" si="12"/>
        <v>1.1299999999999999</v>
      </c>
      <c r="F23" s="37">
        <f t="shared" si="12"/>
        <v>1.1299999999999999</v>
      </c>
      <c r="G23" s="37">
        <f t="shared" si="12"/>
        <v>1.1299999999999999</v>
      </c>
      <c r="H23" s="37">
        <f t="shared" si="12"/>
        <v>1.1299999999999999</v>
      </c>
      <c r="I23" s="37">
        <f t="shared" si="12"/>
        <v>1.1299999999999999</v>
      </c>
      <c r="J23" s="37">
        <f t="shared" si="12"/>
        <v>1.1299999999999999</v>
      </c>
      <c r="K23" s="37">
        <f t="shared" si="12"/>
        <v>1.1299999999999999</v>
      </c>
      <c r="L23" s="37">
        <f t="shared" si="12"/>
        <v>1.1299999999999999</v>
      </c>
      <c r="M23" s="37">
        <f t="shared" si="12"/>
        <v>1.1299999999999999</v>
      </c>
      <c r="N23" s="37">
        <f t="shared" si="12"/>
        <v>1.1299999999999999</v>
      </c>
      <c r="O23" s="37">
        <f t="shared" si="12"/>
        <v>1.1299999999999999</v>
      </c>
      <c r="P23" s="115" t="s">
        <v>29</v>
      </c>
      <c r="Q23" s="119">
        <f>IFERROR(VLOOKUP(P23,'P12 (Allocation Factors)'!$D:$F,3,0),0)</f>
        <v>0</v>
      </c>
      <c r="R23" s="41">
        <f t="shared" si="3"/>
        <v>0</v>
      </c>
      <c r="S23" s="41">
        <f t="shared" si="1"/>
        <v>0</v>
      </c>
      <c r="T23" s="41">
        <f t="shared" si="1"/>
        <v>0</v>
      </c>
      <c r="U23" s="41">
        <f t="shared" si="1"/>
        <v>0</v>
      </c>
      <c r="V23" s="41">
        <f t="shared" si="1"/>
        <v>0</v>
      </c>
      <c r="W23" s="41">
        <f t="shared" si="1"/>
        <v>0</v>
      </c>
      <c r="X23" s="41">
        <f t="shared" si="1"/>
        <v>0</v>
      </c>
      <c r="Y23" s="41">
        <f t="shared" si="1"/>
        <v>0</v>
      </c>
      <c r="Z23" s="41">
        <f t="shared" si="1"/>
        <v>0</v>
      </c>
      <c r="AA23" s="41">
        <f t="shared" si="1"/>
        <v>0</v>
      </c>
      <c r="AB23" s="41">
        <f t="shared" si="1"/>
        <v>0</v>
      </c>
      <c r="AC23" s="41">
        <f t="shared" si="1"/>
        <v>0</v>
      </c>
      <c r="AD23" s="41">
        <f t="shared" si="1"/>
        <v>0</v>
      </c>
      <c r="AE23" s="31" t="s">
        <v>786</v>
      </c>
      <c r="AF23" s="46" t="s">
        <v>767</v>
      </c>
    </row>
    <row r="24" spans="1:32" x14ac:dyDescent="0.25">
      <c r="A24" s="31" t="s">
        <v>464</v>
      </c>
      <c r="B24" s="46" t="s">
        <v>489</v>
      </c>
      <c r="C24" s="37">
        <f>'A8 (ADIT Balances)'!O24</f>
        <v>1154169.79</v>
      </c>
      <c r="D24" s="37">
        <f t="shared" ref="D24:O24" si="13">C24</f>
        <v>1154169.79</v>
      </c>
      <c r="E24" s="37">
        <f t="shared" si="13"/>
        <v>1154169.79</v>
      </c>
      <c r="F24" s="37">
        <f t="shared" si="13"/>
        <v>1154169.79</v>
      </c>
      <c r="G24" s="37">
        <f t="shared" si="13"/>
        <v>1154169.79</v>
      </c>
      <c r="H24" s="37">
        <f t="shared" si="13"/>
        <v>1154169.79</v>
      </c>
      <c r="I24" s="37">
        <f t="shared" si="13"/>
        <v>1154169.79</v>
      </c>
      <c r="J24" s="37">
        <f t="shared" si="13"/>
        <v>1154169.79</v>
      </c>
      <c r="K24" s="37">
        <f t="shared" si="13"/>
        <v>1154169.79</v>
      </c>
      <c r="L24" s="37">
        <f t="shared" si="13"/>
        <v>1154169.79</v>
      </c>
      <c r="M24" s="37">
        <f t="shared" si="13"/>
        <v>1154169.79</v>
      </c>
      <c r="N24" s="37">
        <f t="shared" si="13"/>
        <v>1154169.79</v>
      </c>
      <c r="O24" s="37">
        <f t="shared" si="13"/>
        <v>1154169.79</v>
      </c>
      <c r="P24" s="115" t="s">
        <v>333</v>
      </c>
      <c r="Q24" s="119">
        <f>IFERROR(VLOOKUP(P24,'P12 (Allocation Factors)'!$D:$F,3,0),0)</f>
        <v>0.13393681565544452</v>
      </c>
      <c r="R24" s="41">
        <f t="shared" si="3"/>
        <v>154585.8263983131</v>
      </c>
      <c r="S24" s="41">
        <f t="shared" si="1"/>
        <v>154585.8263983131</v>
      </c>
      <c r="T24" s="41">
        <f t="shared" si="1"/>
        <v>154585.8263983131</v>
      </c>
      <c r="U24" s="41">
        <f t="shared" si="1"/>
        <v>154585.8263983131</v>
      </c>
      <c r="V24" s="41">
        <f t="shared" si="1"/>
        <v>154585.8263983131</v>
      </c>
      <c r="W24" s="41">
        <f t="shared" si="1"/>
        <v>154585.8263983131</v>
      </c>
      <c r="X24" s="41">
        <f t="shared" si="1"/>
        <v>154585.8263983131</v>
      </c>
      <c r="Y24" s="41">
        <f t="shared" si="1"/>
        <v>154585.8263983131</v>
      </c>
      <c r="Z24" s="41">
        <f t="shared" si="1"/>
        <v>154585.8263983131</v>
      </c>
      <c r="AA24" s="41">
        <f t="shared" si="1"/>
        <v>154585.8263983131</v>
      </c>
      <c r="AB24" s="41">
        <f t="shared" si="1"/>
        <v>154585.8263983131</v>
      </c>
      <c r="AC24" s="41">
        <f t="shared" si="1"/>
        <v>154585.8263983131</v>
      </c>
      <c r="AD24" s="41">
        <f t="shared" si="1"/>
        <v>154585.8263983131</v>
      </c>
      <c r="AE24" s="31" t="s">
        <v>785</v>
      </c>
      <c r="AF24" s="46" t="s">
        <v>898</v>
      </c>
    </row>
    <row r="25" spans="1:32" x14ac:dyDescent="0.25">
      <c r="A25" s="31" t="s">
        <v>465</v>
      </c>
      <c r="B25" s="46" t="s">
        <v>490</v>
      </c>
      <c r="C25" s="37">
        <f>'A8 (ADIT Balances)'!O25</f>
        <v>66762982.649999999</v>
      </c>
      <c r="D25" s="37">
        <f t="shared" ref="D25:O25" si="14">C25</f>
        <v>66762982.649999999</v>
      </c>
      <c r="E25" s="37">
        <f t="shared" si="14"/>
        <v>66762982.649999999</v>
      </c>
      <c r="F25" s="37">
        <f t="shared" si="14"/>
        <v>66762982.649999999</v>
      </c>
      <c r="G25" s="37">
        <f t="shared" si="14"/>
        <v>66762982.649999999</v>
      </c>
      <c r="H25" s="37">
        <f t="shared" si="14"/>
        <v>66762982.649999999</v>
      </c>
      <c r="I25" s="37">
        <f t="shared" si="14"/>
        <v>66762982.649999999</v>
      </c>
      <c r="J25" s="37">
        <f t="shared" si="14"/>
        <v>66762982.649999999</v>
      </c>
      <c r="K25" s="37">
        <f t="shared" si="14"/>
        <v>66762982.649999999</v>
      </c>
      <c r="L25" s="37">
        <f t="shared" si="14"/>
        <v>66762982.649999999</v>
      </c>
      <c r="M25" s="37">
        <f t="shared" si="14"/>
        <v>66762982.649999999</v>
      </c>
      <c r="N25" s="37">
        <f t="shared" si="14"/>
        <v>66762982.649999999</v>
      </c>
      <c r="O25" s="37">
        <f t="shared" si="14"/>
        <v>66762982.649999999</v>
      </c>
      <c r="P25" s="115" t="s">
        <v>29</v>
      </c>
      <c r="Q25" s="119">
        <f>IFERROR(VLOOKUP(P25,'P12 (Allocation Factors)'!$D:$F,3,0),0)</f>
        <v>0</v>
      </c>
      <c r="R25" s="41">
        <f t="shared" si="3"/>
        <v>0</v>
      </c>
      <c r="S25" s="41">
        <f t="shared" si="1"/>
        <v>0</v>
      </c>
      <c r="T25" s="41">
        <f t="shared" si="1"/>
        <v>0</v>
      </c>
      <c r="U25" s="41">
        <f t="shared" si="1"/>
        <v>0</v>
      </c>
      <c r="V25" s="41">
        <f t="shared" si="1"/>
        <v>0</v>
      </c>
      <c r="W25" s="41">
        <f t="shared" si="1"/>
        <v>0</v>
      </c>
      <c r="X25" s="41">
        <f t="shared" si="1"/>
        <v>0</v>
      </c>
      <c r="Y25" s="41">
        <f t="shared" si="1"/>
        <v>0</v>
      </c>
      <c r="Z25" s="41">
        <f t="shared" si="1"/>
        <v>0</v>
      </c>
      <c r="AA25" s="41">
        <f t="shared" si="1"/>
        <v>0</v>
      </c>
      <c r="AB25" s="41">
        <f t="shared" si="1"/>
        <v>0</v>
      </c>
      <c r="AC25" s="41">
        <f t="shared" si="1"/>
        <v>0</v>
      </c>
      <c r="AD25" s="41">
        <f t="shared" si="1"/>
        <v>0</v>
      </c>
      <c r="AE25" s="31" t="s">
        <v>786</v>
      </c>
      <c r="AF25" s="46" t="s">
        <v>768</v>
      </c>
    </row>
    <row r="26" spans="1:32" x14ac:dyDescent="0.25">
      <c r="A26" s="31" t="s">
        <v>466</v>
      </c>
      <c r="B26" s="46" t="s">
        <v>491</v>
      </c>
      <c r="C26" s="37">
        <f>'A8 (ADIT Balances)'!O26</f>
        <v>4944037.18</v>
      </c>
      <c r="D26" s="37">
        <f t="shared" ref="D26:O26" si="15">C26</f>
        <v>4944037.18</v>
      </c>
      <c r="E26" s="37">
        <f t="shared" si="15"/>
        <v>4944037.18</v>
      </c>
      <c r="F26" s="37">
        <f t="shared" si="15"/>
        <v>4944037.18</v>
      </c>
      <c r="G26" s="37">
        <f t="shared" si="15"/>
        <v>4944037.18</v>
      </c>
      <c r="H26" s="37">
        <f t="shared" si="15"/>
        <v>4944037.18</v>
      </c>
      <c r="I26" s="37">
        <f t="shared" si="15"/>
        <v>4944037.18</v>
      </c>
      <c r="J26" s="37">
        <f t="shared" si="15"/>
        <v>4944037.18</v>
      </c>
      <c r="K26" s="37">
        <f t="shared" si="15"/>
        <v>4944037.18</v>
      </c>
      <c r="L26" s="37">
        <f t="shared" si="15"/>
        <v>4944037.18</v>
      </c>
      <c r="M26" s="37">
        <f t="shared" si="15"/>
        <v>4944037.18</v>
      </c>
      <c r="N26" s="37">
        <f t="shared" si="15"/>
        <v>4944037.18</v>
      </c>
      <c r="O26" s="37">
        <f t="shared" si="15"/>
        <v>4944037.18</v>
      </c>
      <c r="P26" s="115" t="s">
        <v>29</v>
      </c>
      <c r="Q26" s="119">
        <f>IFERROR(VLOOKUP(P26,'P12 (Allocation Factors)'!$D:$F,3,0),0)</f>
        <v>0</v>
      </c>
      <c r="R26" s="41">
        <f t="shared" si="3"/>
        <v>0</v>
      </c>
      <c r="S26" s="41">
        <f t="shared" si="1"/>
        <v>0</v>
      </c>
      <c r="T26" s="41">
        <f t="shared" si="1"/>
        <v>0</v>
      </c>
      <c r="U26" s="41">
        <f t="shared" si="1"/>
        <v>0</v>
      </c>
      <c r="V26" s="41">
        <f t="shared" si="1"/>
        <v>0</v>
      </c>
      <c r="W26" s="41">
        <f t="shared" si="1"/>
        <v>0</v>
      </c>
      <c r="X26" s="41">
        <f t="shared" si="1"/>
        <v>0</v>
      </c>
      <c r="Y26" s="41">
        <f t="shared" si="1"/>
        <v>0</v>
      </c>
      <c r="Z26" s="41">
        <f t="shared" si="1"/>
        <v>0</v>
      </c>
      <c r="AA26" s="41">
        <f t="shared" si="1"/>
        <v>0</v>
      </c>
      <c r="AB26" s="41">
        <f t="shared" si="1"/>
        <v>0</v>
      </c>
      <c r="AC26" s="41">
        <f t="shared" si="1"/>
        <v>0</v>
      </c>
      <c r="AD26" s="41">
        <f t="shared" si="1"/>
        <v>0</v>
      </c>
      <c r="AE26" s="31" t="s">
        <v>786</v>
      </c>
      <c r="AF26" s="46" t="s">
        <v>898</v>
      </c>
    </row>
    <row r="27" spans="1:32" x14ac:dyDescent="0.25">
      <c r="A27" s="31" t="s">
        <v>467</v>
      </c>
      <c r="B27" s="46" t="s">
        <v>492</v>
      </c>
      <c r="C27" s="37">
        <f>'A8 (ADIT Balances)'!O27</f>
        <v>32577.23</v>
      </c>
      <c r="D27" s="37">
        <f t="shared" ref="D27:O27" si="16">C27</f>
        <v>32577.23</v>
      </c>
      <c r="E27" s="37">
        <f t="shared" si="16"/>
        <v>32577.23</v>
      </c>
      <c r="F27" s="37">
        <f t="shared" si="16"/>
        <v>32577.23</v>
      </c>
      <c r="G27" s="37">
        <f t="shared" si="16"/>
        <v>32577.23</v>
      </c>
      <c r="H27" s="37">
        <f t="shared" si="16"/>
        <v>32577.23</v>
      </c>
      <c r="I27" s="37">
        <f t="shared" si="16"/>
        <v>32577.23</v>
      </c>
      <c r="J27" s="37">
        <f t="shared" si="16"/>
        <v>32577.23</v>
      </c>
      <c r="K27" s="37">
        <f t="shared" si="16"/>
        <v>32577.23</v>
      </c>
      <c r="L27" s="37">
        <f t="shared" si="16"/>
        <v>32577.23</v>
      </c>
      <c r="M27" s="37">
        <f t="shared" si="16"/>
        <v>32577.23</v>
      </c>
      <c r="N27" s="37">
        <f t="shared" si="16"/>
        <v>32577.23</v>
      </c>
      <c r="O27" s="37">
        <f t="shared" si="16"/>
        <v>32577.23</v>
      </c>
      <c r="P27" s="115" t="s">
        <v>333</v>
      </c>
      <c r="Q27" s="119">
        <f>IFERROR(VLOOKUP(P27,'P12 (Allocation Factors)'!$D:$F,3,0),0)</f>
        <v>0.13393681565544452</v>
      </c>
      <c r="R27" s="41">
        <f t="shared" si="3"/>
        <v>4363.290449075017</v>
      </c>
      <c r="S27" s="41">
        <f t="shared" si="1"/>
        <v>4363.290449075017</v>
      </c>
      <c r="T27" s="41">
        <f t="shared" si="1"/>
        <v>4363.290449075017</v>
      </c>
      <c r="U27" s="41">
        <f t="shared" si="1"/>
        <v>4363.290449075017</v>
      </c>
      <c r="V27" s="41">
        <f t="shared" si="1"/>
        <v>4363.290449075017</v>
      </c>
      <c r="W27" s="41">
        <f t="shared" si="1"/>
        <v>4363.290449075017</v>
      </c>
      <c r="X27" s="41">
        <f t="shared" si="1"/>
        <v>4363.290449075017</v>
      </c>
      <c r="Y27" s="41">
        <f t="shared" si="1"/>
        <v>4363.290449075017</v>
      </c>
      <c r="Z27" s="41">
        <f t="shared" si="1"/>
        <v>4363.290449075017</v>
      </c>
      <c r="AA27" s="41">
        <f t="shared" si="1"/>
        <v>4363.290449075017</v>
      </c>
      <c r="AB27" s="41">
        <f t="shared" si="1"/>
        <v>4363.290449075017</v>
      </c>
      <c r="AC27" s="41">
        <f t="shared" si="1"/>
        <v>4363.290449075017</v>
      </c>
      <c r="AD27" s="41">
        <f t="shared" si="1"/>
        <v>4363.290449075017</v>
      </c>
      <c r="AE27" s="31" t="s">
        <v>785</v>
      </c>
      <c r="AF27" s="46" t="s">
        <v>697</v>
      </c>
    </row>
    <row r="28" spans="1:32" x14ac:dyDescent="0.25">
      <c r="A28" s="31" t="s">
        <v>468</v>
      </c>
      <c r="B28" s="46" t="s">
        <v>493</v>
      </c>
      <c r="C28" s="37">
        <f>'A8 (ADIT Balances)'!O28</f>
        <v>915841.77</v>
      </c>
      <c r="D28" s="37">
        <f t="shared" ref="D28:O28" si="17">C28</f>
        <v>915841.77</v>
      </c>
      <c r="E28" s="37">
        <f t="shared" si="17"/>
        <v>915841.77</v>
      </c>
      <c r="F28" s="37">
        <f t="shared" si="17"/>
        <v>915841.77</v>
      </c>
      <c r="G28" s="37">
        <f t="shared" si="17"/>
        <v>915841.77</v>
      </c>
      <c r="H28" s="37">
        <f t="shared" si="17"/>
        <v>915841.77</v>
      </c>
      <c r="I28" s="37">
        <f t="shared" si="17"/>
        <v>915841.77</v>
      </c>
      <c r="J28" s="37">
        <f t="shared" si="17"/>
        <v>915841.77</v>
      </c>
      <c r="K28" s="37">
        <f t="shared" si="17"/>
        <v>915841.77</v>
      </c>
      <c r="L28" s="37">
        <f t="shared" si="17"/>
        <v>915841.77</v>
      </c>
      <c r="M28" s="37">
        <f t="shared" si="17"/>
        <v>915841.77</v>
      </c>
      <c r="N28" s="37">
        <f t="shared" si="17"/>
        <v>915841.77</v>
      </c>
      <c r="O28" s="37">
        <f t="shared" si="17"/>
        <v>915841.77</v>
      </c>
      <c r="P28" s="115" t="s">
        <v>333</v>
      </c>
      <c r="Q28" s="123">
        <f>IFERROR(VLOOKUP(P28,'P12 (Allocation Factors)'!$D:$F,3,0),0)</f>
        <v>0.13393681565544452</v>
      </c>
      <c r="R28" s="41">
        <f t="shared" si="3"/>
        <v>122664.93031804603</v>
      </c>
      <c r="S28" s="41">
        <f t="shared" si="1"/>
        <v>122664.93031804603</v>
      </c>
      <c r="T28" s="41">
        <f t="shared" si="1"/>
        <v>122664.93031804603</v>
      </c>
      <c r="U28" s="41">
        <f t="shared" si="1"/>
        <v>122664.93031804603</v>
      </c>
      <c r="V28" s="41">
        <f t="shared" si="1"/>
        <v>122664.93031804603</v>
      </c>
      <c r="W28" s="41">
        <f t="shared" si="1"/>
        <v>122664.93031804603</v>
      </c>
      <c r="X28" s="41">
        <f t="shared" si="1"/>
        <v>122664.93031804603</v>
      </c>
      <c r="Y28" s="41">
        <f t="shared" si="1"/>
        <v>122664.93031804603</v>
      </c>
      <c r="Z28" s="41">
        <f t="shared" si="1"/>
        <v>122664.93031804603</v>
      </c>
      <c r="AA28" s="41">
        <f t="shared" si="1"/>
        <v>122664.93031804603</v>
      </c>
      <c r="AB28" s="41">
        <f t="shared" si="1"/>
        <v>122664.93031804603</v>
      </c>
      <c r="AC28" s="41">
        <f t="shared" si="1"/>
        <v>122664.93031804603</v>
      </c>
      <c r="AD28" s="41">
        <f t="shared" si="1"/>
        <v>122664.93031804603</v>
      </c>
      <c r="AE28" s="31" t="s">
        <v>785</v>
      </c>
      <c r="AF28" s="46" t="s">
        <v>697</v>
      </c>
    </row>
    <row r="29" spans="1:32" x14ac:dyDescent="0.25">
      <c r="A29" s="31" t="s">
        <v>469</v>
      </c>
      <c r="B29" s="46" t="s">
        <v>494</v>
      </c>
      <c r="C29" s="37">
        <f>'A8 (ADIT Balances)'!O29</f>
        <v>253354.58</v>
      </c>
      <c r="D29" s="37">
        <f t="shared" ref="D29:O29" si="18">C29</f>
        <v>253354.58</v>
      </c>
      <c r="E29" s="37">
        <f t="shared" si="18"/>
        <v>253354.58</v>
      </c>
      <c r="F29" s="37">
        <f t="shared" si="18"/>
        <v>253354.58</v>
      </c>
      <c r="G29" s="37">
        <f t="shared" si="18"/>
        <v>253354.58</v>
      </c>
      <c r="H29" s="37">
        <f t="shared" si="18"/>
        <v>253354.58</v>
      </c>
      <c r="I29" s="37">
        <f t="shared" si="18"/>
        <v>253354.58</v>
      </c>
      <c r="J29" s="37">
        <f t="shared" si="18"/>
        <v>253354.58</v>
      </c>
      <c r="K29" s="37">
        <f t="shared" si="18"/>
        <v>253354.58</v>
      </c>
      <c r="L29" s="37">
        <f t="shared" si="18"/>
        <v>253354.58</v>
      </c>
      <c r="M29" s="37">
        <f t="shared" si="18"/>
        <v>253354.58</v>
      </c>
      <c r="N29" s="37">
        <f t="shared" si="18"/>
        <v>253354.58</v>
      </c>
      <c r="O29" s="37">
        <f t="shared" si="18"/>
        <v>253354.58</v>
      </c>
      <c r="P29" s="115" t="s">
        <v>333</v>
      </c>
      <c r="Q29" s="119">
        <f>IFERROR(VLOOKUP(P29,'P12 (Allocation Factors)'!$D:$F,3,0),0)</f>
        <v>0.13393681565544452</v>
      </c>
      <c r="R29" s="41">
        <f t="shared" si="3"/>
        <v>33933.50567692257</v>
      </c>
      <c r="S29" s="41">
        <f t="shared" si="3"/>
        <v>33933.50567692257</v>
      </c>
      <c r="T29" s="41">
        <f t="shared" si="3"/>
        <v>33933.50567692257</v>
      </c>
      <c r="U29" s="41">
        <f t="shared" si="3"/>
        <v>33933.50567692257</v>
      </c>
      <c r="V29" s="41">
        <f t="shared" si="3"/>
        <v>33933.50567692257</v>
      </c>
      <c r="W29" s="41">
        <f t="shared" si="3"/>
        <v>33933.50567692257</v>
      </c>
      <c r="X29" s="41">
        <f t="shared" si="3"/>
        <v>33933.50567692257</v>
      </c>
      <c r="Y29" s="41">
        <f t="shared" si="3"/>
        <v>33933.50567692257</v>
      </c>
      <c r="Z29" s="41">
        <f t="shared" si="3"/>
        <v>33933.50567692257</v>
      </c>
      <c r="AA29" s="41">
        <f t="shared" si="3"/>
        <v>33933.50567692257</v>
      </c>
      <c r="AB29" s="41">
        <f t="shared" si="3"/>
        <v>33933.50567692257</v>
      </c>
      <c r="AC29" s="41">
        <f t="shared" si="3"/>
        <v>33933.50567692257</v>
      </c>
      <c r="AD29" s="41">
        <f t="shared" si="3"/>
        <v>33933.50567692257</v>
      </c>
      <c r="AE29" s="31" t="s">
        <v>785</v>
      </c>
      <c r="AF29" s="46" t="s">
        <v>697</v>
      </c>
    </row>
    <row r="30" spans="1:32" x14ac:dyDescent="0.25">
      <c r="A30" s="31" t="s">
        <v>470</v>
      </c>
      <c r="B30" s="46" t="s">
        <v>62</v>
      </c>
      <c r="C30" s="37">
        <f>'A8 (ADIT Balances)'!O30</f>
        <v>1792431.35</v>
      </c>
      <c r="D30" s="37">
        <f t="shared" ref="D30:O30" si="19">C30</f>
        <v>1792431.35</v>
      </c>
      <c r="E30" s="37">
        <f t="shared" si="19"/>
        <v>1792431.35</v>
      </c>
      <c r="F30" s="37">
        <f t="shared" si="19"/>
        <v>1792431.35</v>
      </c>
      <c r="G30" s="37">
        <f t="shared" si="19"/>
        <v>1792431.35</v>
      </c>
      <c r="H30" s="37">
        <f t="shared" si="19"/>
        <v>1792431.35</v>
      </c>
      <c r="I30" s="37">
        <f t="shared" si="19"/>
        <v>1792431.35</v>
      </c>
      <c r="J30" s="37">
        <f t="shared" si="19"/>
        <v>1792431.35</v>
      </c>
      <c r="K30" s="37">
        <f t="shared" si="19"/>
        <v>1792431.35</v>
      </c>
      <c r="L30" s="37">
        <f t="shared" si="19"/>
        <v>1792431.35</v>
      </c>
      <c r="M30" s="37">
        <f t="shared" si="19"/>
        <v>1792431.35</v>
      </c>
      <c r="N30" s="37">
        <f t="shared" si="19"/>
        <v>1792431.35</v>
      </c>
      <c r="O30" s="37">
        <f t="shared" si="19"/>
        <v>1792431.35</v>
      </c>
      <c r="P30" s="115" t="s">
        <v>29</v>
      </c>
      <c r="Q30" s="119">
        <f>IFERROR(VLOOKUP(P30,'P12 (Allocation Factors)'!$D:$F,3,0),0)</f>
        <v>0</v>
      </c>
      <c r="R30" s="41">
        <f t="shared" si="3"/>
        <v>0</v>
      </c>
      <c r="S30" s="41">
        <f t="shared" si="3"/>
        <v>0</v>
      </c>
      <c r="T30" s="41">
        <f t="shared" si="3"/>
        <v>0</v>
      </c>
      <c r="U30" s="41">
        <f t="shared" si="3"/>
        <v>0</v>
      </c>
      <c r="V30" s="41">
        <f t="shared" si="3"/>
        <v>0</v>
      </c>
      <c r="W30" s="41">
        <f t="shared" si="3"/>
        <v>0</v>
      </c>
      <c r="X30" s="41">
        <f t="shared" si="3"/>
        <v>0</v>
      </c>
      <c r="Y30" s="41">
        <f t="shared" si="3"/>
        <v>0</v>
      </c>
      <c r="Z30" s="41">
        <f t="shared" si="3"/>
        <v>0</v>
      </c>
      <c r="AA30" s="41">
        <f t="shared" si="3"/>
        <v>0</v>
      </c>
      <c r="AB30" s="41">
        <f t="shared" si="3"/>
        <v>0</v>
      </c>
      <c r="AC30" s="41">
        <f t="shared" si="3"/>
        <v>0</v>
      </c>
      <c r="AD30" s="41">
        <f t="shared" si="3"/>
        <v>0</v>
      </c>
      <c r="AE30" s="31" t="s">
        <v>786</v>
      </c>
      <c r="AF30" s="46" t="s">
        <v>898</v>
      </c>
    </row>
    <row r="31" spans="1:32" x14ac:dyDescent="0.25">
      <c r="A31" s="31" t="s">
        <v>471</v>
      </c>
      <c r="B31" s="46" t="s">
        <v>495</v>
      </c>
      <c r="C31" s="37">
        <f>'A8 (ADIT Balances)'!O31</f>
        <v>6112553.7199999997</v>
      </c>
      <c r="D31" s="37">
        <f t="shared" ref="D31:O31" si="20">C31</f>
        <v>6112553.7199999997</v>
      </c>
      <c r="E31" s="37">
        <f t="shared" si="20"/>
        <v>6112553.7199999997</v>
      </c>
      <c r="F31" s="37">
        <f t="shared" si="20"/>
        <v>6112553.7199999997</v>
      </c>
      <c r="G31" s="37">
        <f t="shared" si="20"/>
        <v>6112553.7199999997</v>
      </c>
      <c r="H31" s="37">
        <f t="shared" si="20"/>
        <v>6112553.7199999997</v>
      </c>
      <c r="I31" s="37">
        <f t="shared" si="20"/>
        <v>6112553.7199999997</v>
      </c>
      <c r="J31" s="37">
        <f t="shared" si="20"/>
        <v>6112553.7199999997</v>
      </c>
      <c r="K31" s="37">
        <f t="shared" si="20"/>
        <v>6112553.7199999997</v>
      </c>
      <c r="L31" s="37">
        <f t="shared" si="20"/>
        <v>6112553.7199999997</v>
      </c>
      <c r="M31" s="37">
        <f t="shared" si="20"/>
        <v>6112553.7199999997</v>
      </c>
      <c r="N31" s="37">
        <f t="shared" si="20"/>
        <v>6112553.7199999997</v>
      </c>
      <c r="O31" s="37">
        <f t="shared" si="20"/>
        <v>6112553.7199999997</v>
      </c>
      <c r="P31" s="115" t="s">
        <v>288</v>
      </c>
      <c r="Q31" s="119">
        <f>IFERROR(VLOOKUP(P31,'P12 (Allocation Factors)'!$D:$F,3,0),0)</f>
        <v>0.20910917396042414</v>
      </c>
      <c r="R31" s="41">
        <f t="shared" si="3"/>
        <v>1278191.0591779177</v>
      </c>
      <c r="S31" s="41">
        <f t="shared" si="3"/>
        <v>1278191.0591779177</v>
      </c>
      <c r="T31" s="41">
        <f t="shared" si="3"/>
        <v>1278191.0591779177</v>
      </c>
      <c r="U31" s="41">
        <f t="shared" si="3"/>
        <v>1278191.0591779177</v>
      </c>
      <c r="V31" s="41">
        <f t="shared" si="3"/>
        <v>1278191.0591779177</v>
      </c>
      <c r="W31" s="41">
        <f t="shared" si="3"/>
        <v>1278191.0591779177</v>
      </c>
      <c r="X31" s="41">
        <f t="shared" si="3"/>
        <v>1278191.0591779177</v>
      </c>
      <c r="Y31" s="41">
        <f t="shared" si="3"/>
        <v>1278191.0591779177</v>
      </c>
      <c r="Z31" s="41">
        <f t="shared" si="3"/>
        <v>1278191.0591779177</v>
      </c>
      <c r="AA31" s="41">
        <f t="shared" si="3"/>
        <v>1278191.0591779177</v>
      </c>
      <c r="AB31" s="41">
        <f t="shared" si="3"/>
        <v>1278191.0591779177</v>
      </c>
      <c r="AC31" s="41">
        <f t="shared" si="3"/>
        <v>1278191.0591779177</v>
      </c>
      <c r="AD31" s="41">
        <f t="shared" si="3"/>
        <v>1278191.0591779177</v>
      </c>
      <c r="AE31" s="31" t="s">
        <v>786</v>
      </c>
      <c r="AF31" s="46" t="s">
        <v>769</v>
      </c>
    </row>
    <row r="32" spans="1:32" x14ac:dyDescent="0.25">
      <c r="A32" s="31" t="s">
        <v>472</v>
      </c>
      <c r="B32" s="46" t="s">
        <v>496</v>
      </c>
      <c r="C32" s="37">
        <f>'A8 (ADIT Balances)'!O32</f>
        <v>359620.72</v>
      </c>
      <c r="D32" s="37">
        <f t="shared" ref="D32:O32" si="21">C32</f>
        <v>359620.72</v>
      </c>
      <c r="E32" s="37">
        <f t="shared" si="21"/>
        <v>359620.72</v>
      </c>
      <c r="F32" s="37">
        <f t="shared" si="21"/>
        <v>359620.72</v>
      </c>
      <c r="G32" s="37">
        <f t="shared" si="21"/>
        <v>359620.72</v>
      </c>
      <c r="H32" s="37">
        <f t="shared" si="21"/>
        <v>359620.72</v>
      </c>
      <c r="I32" s="37">
        <f t="shared" si="21"/>
        <v>359620.72</v>
      </c>
      <c r="J32" s="37">
        <f t="shared" si="21"/>
        <v>359620.72</v>
      </c>
      <c r="K32" s="37">
        <f t="shared" si="21"/>
        <v>359620.72</v>
      </c>
      <c r="L32" s="37">
        <f t="shared" si="21"/>
        <v>359620.72</v>
      </c>
      <c r="M32" s="37">
        <f t="shared" si="21"/>
        <v>359620.72</v>
      </c>
      <c r="N32" s="37">
        <f t="shared" si="21"/>
        <v>359620.72</v>
      </c>
      <c r="O32" s="37">
        <f t="shared" si="21"/>
        <v>359620.72</v>
      </c>
      <c r="P32" s="115" t="s">
        <v>333</v>
      </c>
      <c r="Q32" s="119">
        <f>IFERROR(VLOOKUP(P32,'P12 (Allocation Factors)'!$D:$F,3,0),0)</f>
        <v>0.13393681565544452</v>
      </c>
      <c r="R32" s="41">
        <f t="shared" si="3"/>
        <v>48166.454080518226</v>
      </c>
      <c r="S32" s="41">
        <f t="shared" si="3"/>
        <v>48166.454080518226</v>
      </c>
      <c r="T32" s="41">
        <f t="shared" si="3"/>
        <v>48166.454080518226</v>
      </c>
      <c r="U32" s="41">
        <f t="shared" si="3"/>
        <v>48166.454080518226</v>
      </c>
      <c r="V32" s="41">
        <f t="shared" si="3"/>
        <v>48166.454080518226</v>
      </c>
      <c r="W32" s="41">
        <f t="shared" si="3"/>
        <v>48166.454080518226</v>
      </c>
      <c r="X32" s="41">
        <f t="shared" si="3"/>
        <v>48166.454080518226</v>
      </c>
      <c r="Y32" s="41">
        <f t="shared" si="3"/>
        <v>48166.454080518226</v>
      </c>
      <c r="Z32" s="41">
        <f t="shared" si="3"/>
        <v>48166.454080518226</v>
      </c>
      <c r="AA32" s="41">
        <f t="shared" si="3"/>
        <v>48166.454080518226</v>
      </c>
      <c r="AB32" s="41">
        <f t="shared" si="3"/>
        <v>48166.454080518226</v>
      </c>
      <c r="AC32" s="41">
        <f t="shared" si="3"/>
        <v>48166.454080518226</v>
      </c>
      <c r="AD32" s="41">
        <f t="shared" si="3"/>
        <v>48166.454080518226</v>
      </c>
      <c r="AE32" s="31" t="s">
        <v>785</v>
      </c>
      <c r="AF32" s="46" t="s">
        <v>898</v>
      </c>
    </row>
    <row r="33" spans="1:32" x14ac:dyDescent="0.25">
      <c r="A33" s="31" t="s">
        <v>473</v>
      </c>
      <c r="B33" s="46" t="s">
        <v>497</v>
      </c>
      <c r="C33" s="37">
        <f>'A8 (ADIT Balances)'!O33</f>
        <v>11142677.76</v>
      </c>
      <c r="D33" s="37">
        <f t="shared" ref="D33:O33" si="22">C33</f>
        <v>11142677.76</v>
      </c>
      <c r="E33" s="37">
        <f t="shared" si="22"/>
        <v>11142677.76</v>
      </c>
      <c r="F33" s="37">
        <f t="shared" si="22"/>
        <v>11142677.76</v>
      </c>
      <c r="G33" s="37">
        <f t="shared" si="22"/>
        <v>11142677.76</v>
      </c>
      <c r="H33" s="37">
        <f t="shared" si="22"/>
        <v>11142677.76</v>
      </c>
      <c r="I33" s="37">
        <f t="shared" si="22"/>
        <v>11142677.76</v>
      </c>
      <c r="J33" s="37">
        <f t="shared" si="22"/>
        <v>11142677.76</v>
      </c>
      <c r="K33" s="37">
        <f t="shared" si="22"/>
        <v>11142677.76</v>
      </c>
      <c r="L33" s="37">
        <f t="shared" si="22"/>
        <v>11142677.76</v>
      </c>
      <c r="M33" s="37">
        <f t="shared" si="22"/>
        <v>11142677.76</v>
      </c>
      <c r="N33" s="37">
        <f t="shared" si="22"/>
        <v>11142677.76</v>
      </c>
      <c r="O33" s="37">
        <f t="shared" si="22"/>
        <v>11142677.76</v>
      </c>
      <c r="P33" s="115" t="s">
        <v>288</v>
      </c>
      <c r="Q33" s="119">
        <f>IFERROR(VLOOKUP(P33,'P12 (Allocation Factors)'!$D:$F,3,0),0)</f>
        <v>0.20910917396042414</v>
      </c>
      <c r="R33" s="41">
        <f t="shared" si="3"/>
        <v>2330036.1421007891</v>
      </c>
      <c r="S33" s="41">
        <f t="shared" si="3"/>
        <v>2330036.1421007891</v>
      </c>
      <c r="T33" s="41">
        <f t="shared" si="3"/>
        <v>2330036.1421007891</v>
      </c>
      <c r="U33" s="41">
        <f t="shared" si="3"/>
        <v>2330036.1421007891</v>
      </c>
      <c r="V33" s="41">
        <f t="shared" si="3"/>
        <v>2330036.1421007891</v>
      </c>
      <c r="W33" s="41">
        <f t="shared" si="3"/>
        <v>2330036.1421007891</v>
      </c>
      <c r="X33" s="41">
        <f t="shared" si="3"/>
        <v>2330036.1421007891</v>
      </c>
      <c r="Y33" s="41">
        <f t="shared" si="3"/>
        <v>2330036.1421007891</v>
      </c>
      <c r="Z33" s="41">
        <f t="shared" si="3"/>
        <v>2330036.1421007891</v>
      </c>
      <c r="AA33" s="41">
        <f t="shared" si="3"/>
        <v>2330036.1421007891</v>
      </c>
      <c r="AB33" s="41">
        <f t="shared" si="3"/>
        <v>2330036.1421007891</v>
      </c>
      <c r="AC33" s="41">
        <f t="shared" si="3"/>
        <v>2330036.1421007891</v>
      </c>
      <c r="AD33" s="41">
        <f t="shared" si="3"/>
        <v>2330036.1421007891</v>
      </c>
      <c r="AE33" s="31" t="s">
        <v>786</v>
      </c>
      <c r="AF33" s="46" t="s">
        <v>769</v>
      </c>
    </row>
    <row r="34" spans="1:32" x14ac:dyDescent="0.25">
      <c r="A34" s="31" t="s">
        <v>474</v>
      </c>
      <c r="B34" s="46" t="s">
        <v>498</v>
      </c>
      <c r="C34" s="37">
        <f>'A8 (ADIT Balances)'!O34</f>
        <v>25435589.600000001</v>
      </c>
      <c r="D34" s="37">
        <f t="shared" ref="D34:O34" si="23">C34</f>
        <v>25435589.600000001</v>
      </c>
      <c r="E34" s="37">
        <f t="shared" si="23"/>
        <v>25435589.600000001</v>
      </c>
      <c r="F34" s="37">
        <f t="shared" si="23"/>
        <v>25435589.600000001</v>
      </c>
      <c r="G34" s="37">
        <f t="shared" si="23"/>
        <v>25435589.600000001</v>
      </c>
      <c r="H34" s="37">
        <f t="shared" si="23"/>
        <v>25435589.600000001</v>
      </c>
      <c r="I34" s="37">
        <f t="shared" si="23"/>
        <v>25435589.600000001</v>
      </c>
      <c r="J34" s="37">
        <f t="shared" si="23"/>
        <v>25435589.600000001</v>
      </c>
      <c r="K34" s="37">
        <f t="shared" si="23"/>
        <v>25435589.600000001</v>
      </c>
      <c r="L34" s="37">
        <f t="shared" si="23"/>
        <v>25435589.600000001</v>
      </c>
      <c r="M34" s="37">
        <f t="shared" si="23"/>
        <v>25435589.600000001</v>
      </c>
      <c r="N34" s="37">
        <f t="shared" si="23"/>
        <v>25435589.600000001</v>
      </c>
      <c r="O34" s="37">
        <f t="shared" si="23"/>
        <v>25435589.600000001</v>
      </c>
      <c r="P34" s="115" t="s">
        <v>29</v>
      </c>
      <c r="Q34" s="119">
        <f>IFERROR(VLOOKUP(P34,'P12 (Allocation Factors)'!$D:$F,3,0),0)</f>
        <v>0</v>
      </c>
      <c r="R34" s="41">
        <f t="shared" si="3"/>
        <v>0</v>
      </c>
      <c r="S34" s="41">
        <f t="shared" si="3"/>
        <v>0</v>
      </c>
      <c r="T34" s="41">
        <f t="shared" si="3"/>
        <v>0</v>
      </c>
      <c r="U34" s="41">
        <f t="shared" si="3"/>
        <v>0</v>
      </c>
      <c r="V34" s="41">
        <f t="shared" si="3"/>
        <v>0</v>
      </c>
      <c r="W34" s="41">
        <f t="shared" si="3"/>
        <v>0</v>
      </c>
      <c r="X34" s="41">
        <f t="shared" si="3"/>
        <v>0</v>
      </c>
      <c r="Y34" s="41">
        <f t="shared" si="3"/>
        <v>0</v>
      </c>
      <c r="Z34" s="41">
        <f t="shared" si="3"/>
        <v>0</v>
      </c>
      <c r="AA34" s="41">
        <f t="shared" si="3"/>
        <v>0</v>
      </c>
      <c r="AB34" s="41">
        <f t="shared" si="3"/>
        <v>0</v>
      </c>
      <c r="AC34" s="41">
        <f t="shared" si="3"/>
        <v>0</v>
      </c>
      <c r="AD34" s="41">
        <f t="shared" si="3"/>
        <v>0</v>
      </c>
      <c r="AE34" s="31" t="s">
        <v>785</v>
      </c>
      <c r="AF34" s="46" t="s">
        <v>695</v>
      </c>
    </row>
    <row r="35" spans="1:32" x14ac:dyDescent="0.25">
      <c r="A35" s="31" t="s">
        <v>475</v>
      </c>
      <c r="B35" s="46" t="s">
        <v>499</v>
      </c>
      <c r="C35" s="37">
        <f>'A8 (ADIT Balances)'!O35</f>
        <v>2467116.9500000002</v>
      </c>
      <c r="D35" s="37">
        <f t="shared" ref="D35:O35" si="24">C35</f>
        <v>2467116.9500000002</v>
      </c>
      <c r="E35" s="37">
        <f t="shared" si="24"/>
        <v>2467116.9500000002</v>
      </c>
      <c r="F35" s="37">
        <f t="shared" si="24"/>
        <v>2467116.9500000002</v>
      </c>
      <c r="G35" s="37">
        <f t="shared" si="24"/>
        <v>2467116.9500000002</v>
      </c>
      <c r="H35" s="37">
        <f t="shared" si="24"/>
        <v>2467116.9500000002</v>
      </c>
      <c r="I35" s="37">
        <f t="shared" si="24"/>
        <v>2467116.9500000002</v>
      </c>
      <c r="J35" s="37">
        <f t="shared" si="24"/>
        <v>2467116.9500000002</v>
      </c>
      <c r="K35" s="37">
        <f t="shared" si="24"/>
        <v>2467116.9500000002</v>
      </c>
      <c r="L35" s="37">
        <f t="shared" si="24"/>
        <v>2467116.9500000002</v>
      </c>
      <c r="M35" s="37">
        <f t="shared" si="24"/>
        <v>2467116.9500000002</v>
      </c>
      <c r="N35" s="37">
        <f t="shared" si="24"/>
        <v>2467116.9500000002</v>
      </c>
      <c r="O35" s="37">
        <f t="shared" si="24"/>
        <v>2467116.9500000002</v>
      </c>
      <c r="P35" s="115" t="s">
        <v>29</v>
      </c>
      <c r="Q35" s="119">
        <f>IFERROR(VLOOKUP(P35,'P12 (Allocation Factors)'!$D:$F,3,0),0)</f>
        <v>0</v>
      </c>
      <c r="R35" s="41">
        <f t="shared" si="3"/>
        <v>0</v>
      </c>
      <c r="S35" s="41">
        <f t="shared" si="3"/>
        <v>0</v>
      </c>
      <c r="T35" s="41">
        <f t="shared" si="3"/>
        <v>0</v>
      </c>
      <c r="U35" s="41">
        <f t="shared" si="3"/>
        <v>0</v>
      </c>
      <c r="V35" s="41">
        <f t="shared" si="3"/>
        <v>0</v>
      </c>
      <c r="W35" s="41">
        <f t="shared" si="3"/>
        <v>0</v>
      </c>
      <c r="X35" s="41">
        <f t="shared" si="3"/>
        <v>0</v>
      </c>
      <c r="Y35" s="41">
        <f t="shared" si="3"/>
        <v>0</v>
      </c>
      <c r="Z35" s="41">
        <f t="shared" si="3"/>
        <v>0</v>
      </c>
      <c r="AA35" s="41">
        <f t="shared" si="3"/>
        <v>0</v>
      </c>
      <c r="AB35" s="41">
        <f t="shared" si="3"/>
        <v>0</v>
      </c>
      <c r="AC35" s="41">
        <f t="shared" si="3"/>
        <v>0</v>
      </c>
      <c r="AD35" s="41">
        <f t="shared" si="3"/>
        <v>0</v>
      </c>
      <c r="AE35" s="31" t="s">
        <v>786</v>
      </c>
      <c r="AF35" s="46" t="s">
        <v>898</v>
      </c>
    </row>
    <row r="36" spans="1:32" x14ac:dyDescent="0.25">
      <c r="A36" s="31" t="s">
        <v>476</v>
      </c>
      <c r="B36" s="46" t="s">
        <v>500</v>
      </c>
      <c r="C36" s="37">
        <f>'A8 (ADIT Balances)'!O36</f>
        <v>42203.8</v>
      </c>
      <c r="D36" s="37">
        <f t="shared" ref="D36:O36" si="25">C36</f>
        <v>42203.8</v>
      </c>
      <c r="E36" s="37">
        <f t="shared" si="25"/>
        <v>42203.8</v>
      </c>
      <c r="F36" s="37">
        <f t="shared" si="25"/>
        <v>42203.8</v>
      </c>
      <c r="G36" s="37">
        <f t="shared" si="25"/>
        <v>42203.8</v>
      </c>
      <c r="H36" s="37">
        <f t="shared" si="25"/>
        <v>42203.8</v>
      </c>
      <c r="I36" s="37">
        <f t="shared" si="25"/>
        <v>42203.8</v>
      </c>
      <c r="J36" s="37">
        <f t="shared" si="25"/>
        <v>42203.8</v>
      </c>
      <c r="K36" s="37">
        <f t="shared" si="25"/>
        <v>42203.8</v>
      </c>
      <c r="L36" s="37">
        <f t="shared" si="25"/>
        <v>42203.8</v>
      </c>
      <c r="M36" s="37">
        <f t="shared" si="25"/>
        <v>42203.8</v>
      </c>
      <c r="N36" s="37">
        <f t="shared" si="25"/>
        <v>42203.8</v>
      </c>
      <c r="O36" s="37">
        <f t="shared" si="25"/>
        <v>42203.8</v>
      </c>
      <c r="P36" s="115" t="s">
        <v>29</v>
      </c>
      <c r="Q36" s="119">
        <f>IFERROR(VLOOKUP(P36,'P12 (Allocation Factors)'!$D:$F,3,0),0)</f>
        <v>0</v>
      </c>
      <c r="R36" s="41">
        <f t="shared" si="3"/>
        <v>0</v>
      </c>
      <c r="S36" s="41">
        <f t="shared" si="3"/>
        <v>0</v>
      </c>
      <c r="T36" s="41">
        <f t="shared" si="3"/>
        <v>0</v>
      </c>
      <c r="U36" s="41">
        <f t="shared" si="3"/>
        <v>0</v>
      </c>
      <c r="V36" s="41">
        <f t="shared" si="3"/>
        <v>0</v>
      </c>
      <c r="W36" s="41">
        <f t="shared" si="3"/>
        <v>0</v>
      </c>
      <c r="X36" s="41">
        <f t="shared" si="3"/>
        <v>0</v>
      </c>
      <c r="Y36" s="41">
        <f t="shared" si="3"/>
        <v>0</v>
      </c>
      <c r="Z36" s="41">
        <f t="shared" si="3"/>
        <v>0</v>
      </c>
      <c r="AA36" s="41">
        <f t="shared" si="3"/>
        <v>0</v>
      </c>
      <c r="AB36" s="41">
        <f t="shared" si="3"/>
        <v>0</v>
      </c>
      <c r="AC36" s="41">
        <f t="shared" si="3"/>
        <v>0</v>
      </c>
      <c r="AD36" s="41">
        <f t="shared" si="3"/>
        <v>0</v>
      </c>
      <c r="AE36" s="31" t="s">
        <v>786</v>
      </c>
      <c r="AF36" s="46" t="s">
        <v>898</v>
      </c>
    </row>
    <row r="37" spans="1:32" x14ac:dyDescent="0.25">
      <c r="A37" s="31" t="s">
        <v>477</v>
      </c>
      <c r="B37" s="46" t="s">
        <v>501</v>
      </c>
      <c r="C37" s="37">
        <f>'A8 (ADIT Balances)'!O37</f>
        <v>615172.51</v>
      </c>
      <c r="D37" s="37">
        <f t="shared" ref="D37:O37" si="26">C37</f>
        <v>615172.51</v>
      </c>
      <c r="E37" s="37">
        <f t="shared" si="26"/>
        <v>615172.51</v>
      </c>
      <c r="F37" s="37">
        <f t="shared" si="26"/>
        <v>615172.51</v>
      </c>
      <c r="G37" s="37">
        <f t="shared" si="26"/>
        <v>615172.51</v>
      </c>
      <c r="H37" s="37">
        <f t="shared" si="26"/>
        <v>615172.51</v>
      </c>
      <c r="I37" s="37">
        <f t="shared" si="26"/>
        <v>615172.51</v>
      </c>
      <c r="J37" s="37">
        <f t="shared" si="26"/>
        <v>615172.51</v>
      </c>
      <c r="K37" s="37">
        <f t="shared" si="26"/>
        <v>615172.51</v>
      </c>
      <c r="L37" s="37">
        <f t="shared" si="26"/>
        <v>615172.51</v>
      </c>
      <c r="M37" s="37">
        <f t="shared" si="26"/>
        <v>615172.51</v>
      </c>
      <c r="N37" s="37">
        <f t="shared" si="26"/>
        <v>615172.51</v>
      </c>
      <c r="O37" s="37">
        <f t="shared" si="26"/>
        <v>615172.51</v>
      </c>
      <c r="P37" s="115" t="s">
        <v>29</v>
      </c>
      <c r="Q37" s="119">
        <f>IFERROR(VLOOKUP(P37,'P12 (Allocation Factors)'!$D:$F,3,0),0)</f>
        <v>0</v>
      </c>
      <c r="R37" s="41">
        <f t="shared" si="3"/>
        <v>0</v>
      </c>
      <c r="S37" s="41">
        <f t="shared" si="3"/>
        <v>0</v>
      </c>
      <c r="T37" s="41">
        <f t="shared" si="3"/>
        <v>0</v>
      </c>
      <c r="U37" s="41">
        <f t="shared" si="3"/>
        <v>0</v>
      </c>
      <c r="V37" s="41">
        <f t="shared" si="3"/>
        <v>0</v>
      </c>
      <c r="W37" s="41">
        <f t="shared" si="3"/>
        <v>0</v>
      </c>
      <c r="X37" s="41">
        <f t="shared" si="3"/>
        <v>0</v>
      </c>
      <c r="Y37" s="41">
        <f t="shared" si="3"/>
        <v>0</v>
      </c>
      <c r="Z37" s="41">
        <f t="shared" si="3"/>
        <v>0</v>
      </c>
      <c r="AA37" s="41">
        <f t="shared" si="3"/>
        <v>0</v>
      </c>
      <c r="AB37" s="41">
        <f t="shared" si="3"/>
        <v>0</v>
      </c>
      <c r="AC37" s="41">
        <f t="shared" si="3"/>
        <v>0</v>
      </c>
      <c r="AD37" s="41">
        <f t="shared" si="3"/>
        <v>0</v>
      </c>
      <c r="AE37" s="31" t="s">
        <v>786</v>
      </c>
      <c r="AF37" s="46" t="s">
        <v>898</v>
      </c>
    </row>
    <row r="38" spans="1:32" x14ac:dyDescent="0.25">
      <c r="A38" s="31" t="s">
        <v>357</v>
      </c>
      <c r="B38" s="46" t="s">
        <v>357</v>
      </c>
      <c r="C38" s="37"/>
      <c r="D38" s="37"/>
      <c r="E38" s="37"/>
      <c r="F38" s="37"/>
      <c r="G38" s="37"/>
      <c r="H38" s="37"/>
      <c r="I38" s="37"/>
      <c r="J38" s="37"/>
      <c r="K38" s="37"/>
      <c r="L38" s="37"/>
      <c r="M38" s="37"/>
      <c r="N38" s="37"/>
      <c r="O38" s="37"/>
      <c r="P38" s="115" t="s">
        <v>357</v>
      </c>
      <c r="Q38" s="119">
        <f>IFERROR(VLOOKUP(P38,'P12 (Allocation Factors)'!$D:$F,3,0),0)</f>
        <v>0</v>
      </c>
      <c r="R38" s="41">
        <f t="shared" si="3"/>
        <v>0</v>
      </c>
      <c r="S38" s="41">
        <f t="shared" si="3"/>
        <v>0</v>
      </c>
      <c r="T38" s="41">
        <f t="shared" si="3"/>
        <v>0</v>
      </c>
      <c r="U38" s="41">
        <f t="shared" si="3"/>
        <v>0</v>
      </c>
      <c r="V38" s="41">
        <f t="shared" si="3"/>
        <v>0</v>
      </c>
      <c r="W38" s="41">
        <f t="shared" si="3"/>
        <v>0</v>
      </c>
      <c r="X38" s="41">
        <f t="shared" si="3"/>
        <v>0</v>
      </c>
      <c r="Y38" s="41">
        <f t="shared" si="3"/>
        <v>0</v>
      </c>
      <c r="Z38" s="41">
        <f t="shared" si="3"/>
        <v>0</v>
      </c>
      <c r="AA38" s="41">
        <f t="shared" si="3"/>
        <v>0</v>
      </c>
      <c r="AB38" s="41">
        <f t="shared" si="3"/>
        <v>0</v>
      </c>
      <c r="AC38" s="41">
        <f t="shared" si="3"/>
        <v>0</v>
      </c>
      <c r="AD38" s="41">
        <f t="shared" si="3"/>
        <v>0</v>
      </c>
      <c r="AE38" s="31" t="s">
        <v>357</v>
      </c>
      <c r="AF38" s="46" t="s">
        <v>357</v>
      </c>
    </row>
    <row r="39" spans="1:32" x14ac:dyDescent="0.25">
      <c r="A39" s="100" t="s">
        <v>478</v>
      </c>
      <c r="B39" s="48" t="s">
        <v>357</v>
      </c>
      <c r="C39" s="20"/>
      <c r="D39" s="37"/>
      <c r="E39" s="37"/>
      <c r="F39" s="37"/>
      <c r="G39" s="37"/>
      <c r="H39" s="37"/>
      <c r="I39" s="37"/>
      <c r="J39" s="37"/>
      <c r="K39" s="37"/>
      <c r="L39" s="37"/>
      <c r="M39" s="37"/>
      <c r="N39" s="37"/>
      <c r="O39" s="20"/>
      <c r="P39" s="116" t="s">
        <v>357</v>
      </c>
      <c r="Q39" s="119">
        <f>IFERROR(VLOOKUP(P39,'P12 (Allocation Factors)'!$D:$F,3,0),0)</f>
        <v>0</v>
      </c>
      <c r="R39" s="41">
        <f t="shared" si="3"/>
        <v>0</v>
      </c>
      <c r="S39" s="41">
        <f t="shared" si="3"/>
        <v>0</v>
      </c>
      <c r="T39" s="41">
        <f t="shared" si="3"/>
        <v>0</v>
      </c>
      <c r="U39" s="41">
        <f t="shared" si="3"/>
        <v>0</v>
      </c>
      <c r="V39" s="41">
        <f t="shared" si="3"/>
        <v>0</v>
      </c>
      <c r="W39" s="41">
        <f t="shared" si="3"/>
        <v>0</v>
      </c>
      <c r="X39" s="41">
        <f t="shared" si="3"/>
        <v>0</v>
      </c>
      <c r="Y39" s="41">
        <f t="shared" si="3"/>
        <v>0</v>
      </c>
      <c r="Z39" s="41">
        <f t="shared" si="3"/>
        <v>0</v>
      </c>
      <c r="AA39" s="41">
        <f t="shared" si="3"/>
        <v>0</v>
      </c>
      <c r="AB39" s="41">
        <f t="shared" si="3"/>
        <v>0</v>
      </c>
      <c r="AC39" s="41">
        <f t="shared" si="3"/>
        <v>0</v>
      </c>
      <c r="AD39" s="41">
        <f t="shared" si="3"/>
        <v>0</v>
      </c>
      <c r="AE39" s="31" t="s">
        <v>357</v>
      </c>
      <c r="AF39" s="46" t="s">
        <v>357</v>
      </c>
    </row>
    <row r="40" spans="1:32" s="6" customFormat="1" x14ac:dyDescent="0.25">
      <c r="A40" s="88">
        <v>2</v>
      </c>
      <c r="B40" s="89" t="str">
        <f>"Total Account No. 190 (Sum Lns. "&amp;A13&amp;" through "&amp;A39&amp;")"</f>
        <v>Total Account No. 190 (Sum Lns. 1a through 1zz)</v>
      </c>
      <c r="C40" s="90">
        <f>SUM(C13:C39)</f>
        <v>178281619.20999998</v>
      </c>
      <c r="D40" s="90">
        <f t="shared" ref="D40:O40" si="27">SUM(D13:D39)</f>
        <v>178281619.20999998</v>
      </c>
      <c r="E40" s="90">
        <f t="shared" si="27"/>
        <v>178281619.20999998</v>
      </c>
      <c r="F40" s="90">
        <f t="shared" si="27"/>
        <v>178281619.20999998</v>
      </c>
      <c r="G40" s="90">
        <f t="shared" si="27"/>
        <v>178281619.20999998</v>
      </c>
      <c r="H40" s="90">
        <f t="shared" si="27"/>
        <v>178281619.20999998</v>
      </c>
      <c r="I40" s="90">
        <f t="shared" si="27"/>
        <v>178281619.20999998</v>
      </c>
      <c r="J40" s="90">
        <f t="shared" si="27"/>
        <v>178281619.20999998</v>
      </c>
      <c r="K40" s="90">
        <f t="shared" si="27"/>
        <v>178281619.20999998</v>
      </c>
      <c r="L40" s="90">
        <f t="shared" si="27"/>
        <v>178281619.20999998</v>
      </c>
      <c r="M40" s="90">
        <f t="shared" si="27"/>
        <v>178281619.20999998</v>
      </c>
      <c r="N40" s="90">
        <f t="shared" si="27"/>
        <v>178281619.20999998</v>
      </c>
      <c r="O40" s="90">
        <f t="shared" si="27"/>
        <v>178281619.20999998</v>
      </c>
      <c r="P40" s="90"/>
      <c r="Q40" s="90"/>
      <c r="R40" s="90">
        <f t="shared" ref="R40:AD40" si="28">SUM(R13:R39)</f>
        <v>8439811.8681740128</v>
      </c>
      <c r="S40" s="90">
        <f t="shared" si="28"/>
        <v>8439811.8681740128</v>
      </c>
      <c r="T40" s="90">
        <f t="shared" si="28"/>
        <v>8439811.8681740128</v>
      </c>
      <c r="U40" s="90">
        <f t="shared" si="28"/>
        <v>8439811.8681740128</v>
      </c>
      <c r="V40" s="90">
        <f t="shared" si="28"/>
        <v>8439811.8681740128</v>
      </c>
      <c r="W40" s="90">
        <f t="shared" si="28"/>
        <v>8439811.8681740128</v>
      </c>
      <c r="X40" s="90">
        <f t="shared" si="28"/>
        <v>8439811.8681740128</v>
      </c>
      <c r="Y40" s="90">
        <f t="shared" si="28"/>
        <v>8439811.8681740128</v>
      </c>
      <c r="Z40" s="90">
        <f t="shared" si="28"/>
        <v>8439811.8681740128</v>
      </c>
      <c r="AA40" s="90">
        <f t="shared" si="28"/>
        <v>8439811.8681740128</v>
      </c>
      <c r="AB40" s="90">
        <f t="shared" si="28"/>
        <v>8439811.8681740128</v>
      </c>
      <c r="AC40" s="90">
        <f t="shared" si="28"/>
        <v>8439811.8681740128</v>
      </c>
      <c r="AD40" s="90">
        <f t="shared" si="28"/>
        <v>8439811.8681740128</v>
      </c>
      <c r="AE40" s="90"/>
      <c r="AF40" s="90"/>
    </row>
    <row r="41" spans="1:32" s="6" customFormat="1" x14ac:dyDescent="0.25">
      <c r="A41" s="16"/>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row>
    <row r="42" spans="1:32" s="127" customFormat="1" x14ac:dyDescent="0.25">
      <c r="A42" s="126">
        <f>A40+1</f>
        <v>3</v>
      </c>
      <c r="B42" s="127" t="s">
        <v>775</v>
      </c>
      <c r="C42" s="128">
        <f>SUMIF($AE$13:$AE$39,"Yes",C$13:C$39)</f>
        <v>71442308.039999992</v>
      </c>
      <c r="D42" s="128">
        <f t="shared" ref="D42:O42" si="29">SUMIF($AE$13:$AE$39,"Yes",D$13:D$39)</f>
        <v>71442308.039999992</v>
      </c>
      <c r="E42" s="128">
        <f t="shared" si="29"/>
        <v>71442308.039999992</v>
      </c>
      <c r="F42" s="128">
        <f t="shared" si="29"/>
        <v>71442308.039999992</v>
      </c>
      <c r="G42" s="128">
        <f t="shared" si="29"/>
        <v>71442308.039999992</v>
      </c>
      <c r="H42" s="128">
        <f t="shared" si="29"/>
        <v>71442308.039999992</v>
      </c>
      <c r="I42" s="128">
        <f t="shared" si="29"/>
        <v>71442308.039999992</v>
      </c>
      <c r="J42" s="128">
        <f t="shared" si="29"/>
        <v>71442308.039999992</v>
      </c>
      <c r="K42" s="128">
        <f t="shared" si="29"/>
        <v>71442308.039999992</v>
      </c>
      <c r="L42" s="128">
        <f t="shared" si="29"/>
        <v>71442308.039999992</v>
      </c>
      <c r="M42" s="128">
        <f t="shared" si="29"/>
        <v>71442308.039999992</v>
      </c>
      <c r="N42" s="128">
        <f t="shared" si="29"/>
        <v>71442308.039999992</v>
      </c>
      <c r="O42" s="128">
        <f t="shared" si="29"/>
        <v>71442308.039999992</v>
      </c>
      <c r="P42" s="128"/>
      <c r="Q42" s="128"/>
      <c r="R42" s="128">
        <f>SUMIF($AE$13:$AE$39,"Yes",R$13:R$39)</f>
        <v>4831584.6668953057</v>
      </c>
      <c r="S42" s="128">
        <f t="shared" ref="S42:AD42" si="30">SUMIF($AE$13:$AE$39,"Yes",S$13:S$39)</f>
        <v>4831584.6668953057</v>
      </c>
      <c r="T42" s="128">
        <f t="shared" si="30"/>
        <v>4831584.6668953057</v>
      </c>
      <c r="U42" s="128">
        <f t="shared" si="30"/>
        <v>4831584.6668953057</v>
      </c>
      <c r="V42" s="128">
        <f t="shared" si="30"/>
        <v>4831584.6668953057</v>
      </c>
      <c r="W42" s="128">
        <f t="shared" si="30"/>
        <v>4831584.6668953057</v>
      </c>
      <c r="X42" s="128">
        <f t="shared" si="30"/>
        <v>4831584.6668953057</v>
      </c>
      <c r="Y42" s="128">
        <f t="shared" si="30"/>
        <v>4831584.6668953057</v>
      </c>
      <c r="Z42" s="128">
        <f t="shared" si="30"/>
        <v>4831584.6668953057</v>
      </c>
      <c r="AA42" s="128">
        <f t="shared" si="30"/>
        <v>4831584.6668953057</v>
      </c>
      <c r="AB42" s="128">
        <f t="shared" si="30"/>
        <v>4831584.6668953057</v>
      </c>
      <c r="AC42" s="128">
        <f t="shared" si="30"/>
        <v>4831584.6668953057</v>
      </c>
      <c r="AD42" s="128">
        <f t="shared" si="30"/>
        <v>4831584.6668953057</v>
      </c>
      <c r="AE42" s="128"/>
      <c r="AF42" s="128"/>
    </row>
    <row r="43" spans="1:32" s="127" customFormat="1" hidden="1" x14ac:dyDescent="0.25">
      <c r="A43" s="126"/>
      <c r="C43" s="128"/>
      <c r="D43" s="128"/>
      <c r="E43" s="128"/>
      <c r="F43" s="128"/>
      <c r="G43" s="128"/>
      <c r="H43" s="128"/>
      <c r="I43" s="128"/>
      <c r="J43" s="128"/>
      <c r="K43" s="128"/>
      <c r="L43" s="128"/>
      <c r="M43" s="128"/>
      <c r="N43" s="128"/>
      <c r="O43" s="128"/>
      <c r="P43" s="128"/>
      <c r="Q43" s="128"/>
      <c r="R43" s="128"/>
      <c r="S43" s="128">
        <f>S42-R42</f>
        <v>0</v>
      </c>
      <c r="T43" s="128">
        <f t="shared" ref="T43:AD43" si="31">T42-S42</f>
        <v>0</v>
      </c>
      <c r="U43" s="128">
        <f t="shared" si="31"/>
        <v>0</v>
      </c>
      <c r="V43" s="128">
        <f t="shared" si="31"/>
        <v>0</v>
      </c>
      <c r="W43" s="128">
        <f t="shared" si="31"/>
        <v>0</v>
      </c>
      <c r="X43" s="128">
        <f t="shared" si="31"/>
        <v>0</v>
      </c>
      <c r="Y43" s="128">
        <f t="shared" si="31"/>
        <v>0</v>
      </c>
      <c r="Z43" s="128">
        <f t="shared" si="31"/>
        <v>0</v>
      </c>
      <c r="AA43" s="128">
        <f t="shared" si="31"/>
        <v>0</v>
      </c>
      <c r="AB43" s="128">
        <f t="shared" si="31"/>
        <v>0</v>
      </c>
      <c r="AC43" s="128">
        <f t="shared" si="31"/>
        <v>0</v>
      </c>
      <c r="AD43" s="128">
        <f t="shared" si="31"/>
        <v>0</v>
      </c>
      <c r="AE43" s="128"/>
      <c r="AF43" s="128"/>
    </row>
    <row r="44" spans="1:32" s="127" customFormat="1" x14ac:dyDescent="0.25">
      <c r="A44" s="126">
        <f>A42+1</f>
        <v>4</v>
      </c>
      <c r="B44" s="127" t="s">
        <v>776</v>
      </c>
      <c r="C44" s="128">
        <f>SUMIF($AE$13:$AE$39,"No",C$13:C$39)</f>
        <v>106839311.17000002</v>
      </c>
      <c r="D44" s="128">
        <f t="shared" ref="D44:O44" si="32">SUMIF($AE$13:$AE$39,"No",D$13:D$39)</f>
        <v>106839311.17000002</v>
      </c>
      <c r="E44" s="128">
        <f t="shared" si="32"/>
        <v>106839311.17000002</v>
      </c>
      <c r="F44" s="128">
        <f t="shared" si="32"/>
        <v>106839311.17000002</v>
      </c>
      <c r="G44" s="128">
        <f t="shared" si="32"/>
        <v>106839311.17000002</v>
      </c>
      <c r="H44" s="128">
        <f t="shared" si="32"/>
        <v>106839311.17000002</v>
      </c>
      <c r="I44" s="128">
        <f t="shared" si="32"/>
        <v>106839311.17000002</v>
      </c>
      <c r="J44" s="128">
        <f t="shared" si="32"/>
        <v>106839311.17000002</v>
      </c>
      <c r="K44" s="128">
        <f t="shared" si="32"/>
        <v>106839311.17000002</v>
      </c>
      <c r="L44" s="128">
        <f t="shared" si="32"/>
        <v>106839311.17000002</v>
      </c>
      <c r="M44" s="128">
        <f t="shared" si="32"/>
        <v>106839311.17000002</v>
      </c>
      <c r="N44" s="128">
        <f t="shared" si="32"/>
        <v>106839311.17000002</v>
      </c>
      <c r="O44" s="128">
        <f t="shared" si="32"/>
        <v>106839311.17000002</v>
      </c>
      <c r="P44" s="128"/>
      <c r="Q44" s="128"/>
      <c r="R44" s="128">
        <f>SUMIF($AE$13:$AE$39,"No",R$13:R$39)</f>
        <v>3608227.201278707</v>
      </c>
      <c r="S44" s="128">
        <f t="shared" ref="S44:AD44" si="33">SUMIF($AE$13:$AE$39,"No",S$13:S$39)</f>
        <v>3608227.201278707</v>
      </c>
      <c r="T44" s="128">
        <f t="shared" si="33"/>
        <v>3608227.201278707</v>
      </c>
      <c r="U44" s="128">
        <f t="shared" si="33"/>
        <v>3608227.201278707</v>
      </c>
      <c r="V44" s="128">
        <f t="shared" si="33"/>
        <v>3608227.201278707</v>
      </c>
      <c r="W44" s="128">
        <f t="shared" si="33"/>
        <v>3608227.201278707</v>
      </c>
      <c r="X44" s="128">
        <f t="shared" si="33"/>
        <v>3608227.201278707</v>
      </c>
      <c r="Y44" s="128">
        <f t="shared" si="33"/>
        <v>3608227.201278707</v>
      </c>
      <c r="Z44" s="128">
        <f t="shared" si="33"/>
        <v>3608227.201278707</v>
      </c>
      <c r="AA44" s="128">
        <f t="shared" si="33"/>
        <v>3608227.201278707</v>
      </c>
      <c r="AB44" s="128">
        <f t="shared" si="33"/>
        <v>3608227.201278707</v>
      </c>
      <c r="AC44" s="128">
        <f t="shared" si="33"/>
        <v>3608227.201278707</v>
      </c>
      <c r="AD44" s="128">
        <f t="shared" si="33"/>
        <v>3608227.201278707</v>
      </c>
      <c r="AE44" s="128"/>
      <c r="AF44" s="128"/>
    </row>
    <row r="45" spans="1:32" x14ac:dyDescent="0.25">
      <c r="C45" s="10"/>
      <c r="D45" s="10"/>
      <c r="E45" s="10"/>
      <c r="F45" s="10"/>
      <c r="G45" s="10"/>
      <c r="H45" s="10"/>
      <c r="I45" s="10"/>
      <c r="J45" s="10"/>
      <c r="K45" s="10"/>
      <c r="L45" s="10"/>
      <c r="M45" s="10"/>
      <c r="N45" s="10"/>
      <c r="O45" s="10"/>
    </row>
    <row r="46" spans="1:32" ht="18.75" x14ac:dyDescent="0.25">
      <c r="A46" s="89" t="s">
        <v>705</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row>
    <row r="47" spans="1:32" x14ac:dyDescent="0.25">
      <c r="A47" s="31" t="s">
        <v>354</v>
      </c>
      <c r="B47" s="46" t="s">
        <v>503</v>
      </c>
      <c r="C47" s="37">
        <f>'A8 (ADIT Balances)'!O47</f>
        <v>-2010603.99</v>
      </c>
      <c r="D47" s="37">
        <f t="shared" ref="D47:O47" si="34">C47</f>
        <v>-2010603.99</v>
      </c>
      <c r="E47" s="37">
        <f t="shared" si="34"/>
        <v>-2010603.99</v>
      </c>
      <c r="F47" s="37">
        <f t="shared" si="34"/>
        <v>-2010603.99</v>
      </c>
      <c r="G47" s="37">
        <f t="shared" si="34"/>
        <v>-2010603.99</v>
      </c>
      <c r="H47" s="37">
        <f t="shared" si="34"/>
        <v>-2010603.99</v>
      </c>
      <c r="I47" s="37">
        <f t="shared" si="34"/>
        <v>-2010603.99</v>
      </c>
      <c r="J47" s="37">
        <f t="shared" si="34"/>
        <v>-2010603.99</v>
      </c>
      <c r="K47" s="37">
        <f t="shared" si="34"/>
        <v>-2010603.99</v>
      </c>
      <c r="L47" s="37">
        <f t="shared" si="34"/>
        <v>-2010603.99</v>
      </c>
      <c r="M47" s="37">
        <f t="shared" si="34"/>
        <v>-2010603.99</v>
      </c>
      <c r="N47" s="37">
        <f t="shared" si="34"/>
        <v>-2010603.99</v>
      </c>
      <c r="O47" s="37">
        <f t="shared" si="34"/>
        <v>-2010603.99</v>
      </c>
      <c r="P47" s="114" t="s">
        <v>29</v>
      </c>
      <c r="Q47" s="119">
        <f>IFERROR(VLOOKUP(P47,'P12 (Allocation Factors)'!$D:$F,3,0),0)</f>
        <v>0</v>
      </c>
      <c r="R47" s="41">
        <f t="shared" ref="R47:AD56" si="35">C47*$Q47</f>
        <v>0</v>
      </c>
      <c r="S47" s="41">
        <f t="shared" si="35"/>
        <v>0</v>
      </c>
      <c r="T47" s="41">
        <f t="shared" si="35"/>
        <v>0</v>
      </c>
      <c r="U47" s="41">
        <f t="shared" si="35"/>
        <v>0</v>
      </c>
      <c r="V47" s="41">
        <f t="shared" si="35"/>
        <v>0</v>
      </c>
      <c r="W47" s="41">
        <f t="shared" si="35"/>
        <v>0</v>
      </c>
      <c r="X47" s="41">
        <f t="shared" si="35"/>
        <v>0</v>
      </c>
      <c r="Y47" s="41">
        <f t="shared" si="35"/>
        <v>0</v>
      </c>
      <c r="Z47" s="41">
        <f t="shared" si="35"/>
        <v>0</v>
      </c>
      <c r="AA47" s="41">
        <f t="shared" si="35"/>
        <v>0</v>
      </c>
      <c r="AB47" s="41">
        <f t="shared" si="35"/>
        <v>0</v>
      </c>
      <c r="AC47" s="41">
        <f t="shared" si="35"/>
        <v>0</v>
      </c>
      <c r="AD47" s="41">
        <f t="shared" si="35"/>
        <v>0</v>
      </c>
      <c r="AE47" s="31" t="s">
        <v>786</v>
      </c>
      <c r="AF47" s="46" t="s">
        <v>698</v>
      </c>
    </row>
    <row r="48" spans="1:32" x14ac:dyDescent="0.25">
      <c r="A48" s="31" t="s">
        <v>355</v>
      </c>
      <c r="B48" s="46" t="s">
        <v>504</v>
      </c>
      <c r="C48" s="37">
        <f>'A8 (ADIT Balances)'!O48</f>
        <v>-26307758.809999999</v>
      </c>
      <c r="D48" s="37">
        <f t="shared" ref="D48:O48" si="36">C48</f>
        <v>-26307758.809999999</v>
      </c>
      <c r="E48" s="37">
        <f t="shared" si="36"/>
        <v>-26307758.809999999</v>
      </c>
      <c r="F48" s="37">
        <f t="shared" si="36"/>
        <v>-26307758.809999999</v>
      </c>
      <c r="G48" s="37">
        <f t="shared" si="36"/>
        <v>-26307758.809999999</v>
      </c>
      <c r="H48" s="37">
        <f t="shared" si="36"/>
        <v>-26307758.809999999</v>
      </c>
      <c r="I48" s="37">
        <f t="shared" si="36"/>
        <v>-26307758.809999999</v>
      </c>
      <c r="J48" s="37">
        <f t="shared" si="36"/>
        <v>-26307758.809999999</v>
      </c>
      <c r="K48" s="37">
        <f t="shared" si="36"/>
        <v>-26307758.809999999</v>
      </c>
      <c r="L48" s="37">
        <f t="shared" si="36"/>
        <v>-26307758.809999999</v>
      </c>
      <c r="M48" s="37">
        <f t="shared" si="36"/>
        <v>-26307758.809999999</v>
      </c>
      <c r="N48" s="37">
        <f t="shared" si="36"/>
        <v>-26307758.809999999</v>
      </c>
      <c r="O48" s="37">
        <f t="shared" si="36"/>
        <v>-26307758.809999999</v>
      </c>
      <c r="P48" s="115" t="s">
        <v>29</v>
      </c>
      <c r="Q48" s="119">
        <f>IFERROR(VLOOKUP(P48,'P12 (Allocation Factors)'!$D:$F,3,0),0)</f>
        <v>0</v>
      </c>
      <c r="R48" s="41">
        <f t="shared" si="35"/>
        <v>0</v>
      </c>
      <c r="S48" s="41">
        <f t="shared" si="35"/>
        <v>0</v>
      </c>
      <c r="T48" s="41">
        <f t="shared" si="35"/>
        <v>0</v>
      </c>
      <c r="U48" s="41">
        <f t="shared" si="35"/>
        <v>0</v>
      </c>
      <c r="V48" s="41">
        <f t="shared" si="35"/>
        <v>0</v>
      </c>
      <c r="W48" s="41">
        <f t="shared" si="35"/>
        <v>0</v>
      </c>
      <c r="X48" s="41">
        <f t="shared" si="35"/>
        <v>0</v>
      </c>
      <c r="Y48" s="41">
        <f t="shared" si="35"/>
        <v>0</v>
      </c>
      <c r="Z48" s="41">
        <f t="shared" si="35"/>
        <v>0</v>
      </c>
      <c r="AA48" s="41">
        <f t="shared" si="35"/>
        <v>0</v>
      </c>
      <c r="AB48" s="41">
        <f t="shared" si="35"/>
        <v>0</v>
      </c>
      <c r="AC48" s="41">
        <f t="shared" si="35"/>
        <v>0</v>
      </c>
      <c r="AD48" s="41">
        <f t="shared" si="35"/>
        <v>0</v>
      </c>
      <c r="AE48" s="31" t="s">
        <v>786</v>
      </c>
      <c r="AF48" s="46" t="s">
        <v>699</v>
      </c>
    </row>
    <row r="49" spans="1:32" x14ac:dyDescent="0.25">
      <c r="A49" s="31" t="s">
        <v>356</v>
      </c>
      <c r="B49" s="46" t="s">
        <v>505</v>
      </c>
      <c r="C49" s="37">
        <f>'A8 (ADIT Balances)'!O49</f>
        <v>-1651137.97</v>
      </c>
      <c r="D49" s="37">
        <f t="shared" ref="D49:O49" si="37">C49</f>
        <v>-1651137.97</v>
      </c>
      <c r="E49" s="37">
        <f t="shared" si="37"/>
        <v>-1651137.97</v>
      </c>
      <c r="F49" s="37">
        <f t="shared" si="37"/>
        <v>-1651137.97</v>
      </c>
      <c r="G49" s="37">
        <f t="shared" si="37"/>
        <v>-1651137.97</v>
      </c>
      <c r="H49" s="37">
        <f t="shared" si="37"/>
        <v>-1651137.97</v>
      </c>
      <c r="I49" s="37">
        <f t="shared" si="37"/>
        <v>-1651137.97</v>
      </c>
      <c r="J49" s="37">
        <f t="shared" si="37"/>
        <v>-1651137.97</v>
      </c>
      <c r="K49" s="37">
        <f t="shared" si="37"/>
        <v>-1651137.97</v>
      </c>
      <c r="L49" s="37">
        <f t="shared" si="37"/>
        <v>-1651137.97</v>
      </c>
      <c r="M49" s="37">
        <f t="shared" si="37"/>
        <v>-1651137.97</v>
      </c>
      <c r="N49" s="37">
        <f t="shared" si="37"/>
        <v>-1651137.97</v>
      </c>
      <c r="O49" s="37">
        <f t="shared" si="37"/>
        <v>-1651137.97</v>
      </c>
      <c r="P49" s="115" t="s">
        <v>29</v>
      </c>
      <c r="Q49" s="119">
        <f>IFERROR(VLOOKUP(P49,'P12 (Allocation Factors)'!$D:$F,3,0),0)</f>
        <v>0</v>
      </c>
      <c r="R49" s="41">
        <f t="shared" si="35"/>
        <v>0</v>
      </c>
      <c r="S49" s="41">
        <f t="shared" si="35"/>
        <v>0</v>
      </c>
      <c r="T49" s="41">
        <f t="shared" si="35"/>
        <v>0</v>
      </c>
      <c r="U49" s="41">
        <f t="shared" si="35"/>
        <v>0</v>
      </c>
      <c r="V49" s="41">
        <f t="shared" si="35"/>
        <v>0</v>
      </c>
      <c r="W49" s="41">
        <f t="shared" si="35"/>
        <v>0</v>
      </c>
      <c r="X49" s="41">
        <f t="shared" si="35"/>
        <v>0</v>
      </c>
      <c r="Y49" s="41">
        <f t="shared" si="35"/>
        <v>0</v>
      </c>
      <c r="Z49" s="41">
        <f t="shared" si="35"/>
        <v>0</v>
      </c>
      <c r="AA49" s="41">
        <f t="shared" si="35"/>
        <v>0</v>
      </c>
      <c r="AB49" s="41">
        <f t="shared" si="35"/>
        <v>0</v>
      </c>
      <c r="AC49" s="41">
        <f t="shared" si="35"/>
        <v>0</v>
      </c>
      <c r="AD49" s="41">
        <f t="shared" si="35"/>
        <v>0</v>
      </c>
      <c r="AE49" s="31" t="s">
        <v>786</v>
      </c>
      <c r="AF49" s="46" t="s">
        <v>698</v>
      </c>
    </row>
    <row r="50" spans="1:32" x14ac:dyDescent="0.25">
      <c r="A50" s="31" t="s">
        <v>511</v>
      </c>
      <c r="B50" s="46" t="s">
        <v>485</v>
      </c>
      <c r="C50" s="37">
        <f>'A8 (ADIT Balances)'!O50</f>
        <v>-27705088.890000001</v>
      </c>
      <c r="D50" s="37">
        <f t="shared" ref="D50:O50" si="38">C50</f>
        <v>-27705088.890000001</v>
      </c>
      <c r="E50" s="37">
        <f t="shared" si="38"/>
        <v>-27705088.890000001</v>
      </c>
      <c r="F50" s="37">
        <f t="shared" si="38"/>
        <v>-27705088.890000001</v>
      </c>
      <c r="G50" s="37">
        <f t="shared" si="38"/>
        <v>-27705088.890000001</v>
      </c>
      <c r="H50" s="37">
        <f t="shared" si="38"/>
        <v>-27705088.890000001</v>
      </c>
      <c r="I50" s="37">
        <f t="shared" si="38"/>
        <v>-27705088.890000001</v>
      </c>
      <c r="J50" s="37">
        <f t="shared" si="38"/>
        <v>-27705088.890000001</v>
      </c>
      <c r="K50" s="37">
        <f t="shared" si="38"/>
        <v>-27705088.890000001</v>
      </c>
      <c r="L50" s="37">
        <f t="shared" si="38"/>
        <v>-27705088.890000001</v>
      </c>
      <c r="M50" s="37">
        <f t="shared" si="38"/>
        <v>-27705088.890000001</v>
      </c>
      <c r="N50" s="37">
        <f t="shared" si="38"/>
        <v>-27705088.890000001</v>
      </c>
      <c r="O50" s="37">
        <f t="shared" si="38"/>
        <v>-27705088.890000001</v>
      </c>
      <c r="P50" s="115" t="s">
        <v>333</v>
      </c>
      <c r="Q50" s="119">
        <f>IFERROR(VLOOKUP(P50,'P12 (Allocation Factors)'!$D:$F,3,0),0)</f>
        <v>0.13393681565544452</v>
      </c>
      <c r="R50" s="41">
        <f t="shared" si="35"/>
        <v>-3710731.383377634</v>
      </c>
      <c r="S50" s="41">
        <f t="shared" si="35"/>
        <v>-3710731.383377634</v>
      </c>
      <c r="T50" s="41">
        <f t="shared" si="35"/>
        <v>-3710731.383377634</v>
      </c>
      <c r="U50" s="41">
        <f t="shared" si="35"/>
        <v>-3710731.383377634</v>
      </c>
      <c r="V50" s="41">
        <f t="shared" si="35"/>
        <v>-3710731.383377634</v>
      </c>
      <c r="W50" s="41">
        <f t="shared" si="35"/>
        <v>-3710731.383377634</v>
      </c>
      <c r="X50" s="41">
        <f t="shared" si="35"/>
        <v>-3710731.383377634</v>
      </c>
      <c r="Y50" s="41">
        <f t="shared" si="35"/>
        <v>-3710731.383377634</v>
      </c>
      <c r="Z50" s="41">
        <f t="shared" si="35"/>
        <v>-3710731.383377634</v>
      </c>
      <c r="AA50" s="41">
        <f t="shared" si="35"/>
        <v>-3710731.383377634</v>
      </c>
      <c r="AB50" s="41">
        <f t="shared" si="35"/>
        <v>-3710731.383377634</v>
      </c>
      <c r="AC50" s="41">
        <f t="shared" si="35"/>
        <v>-3710731.383377634</v>
      </c>
      <c r="AD50" s="41">
        <f t="shared" si="35"/>
        <v>-3710731.383377634</v>
      </c>
      <c r="AE50" s="31" t="s">
        <v>785</v>
      </c>
      <c r="AF50" s="46" t="s">
        <v>770</v>
      </c>
    </row>
    <row r="51" spans="1:32" x14ac:dyDescent="0.25">
      <c r="A51" s="31" t="s">
        <v>512</v>
      </c>
      <c r="B51" s="46" t="s">
        <v>489</v>
      </c>
      <c r="C51" s="37">
        <f>'A8 (ADIT Balances)'!O51</f>
        <v>-368582098.21000004</v>
      </c>
      <c r="D51" s="37">
        <f t="shared" ref="D51:O51" si="39">C51</f>
        <v>-368582098.21000004</v>
      </c>
      <c r="E51" s="37">
        <f t="shared" si="39"/>
        <v>-368582098.21000004</v>
      </c>
      <c r="F51" s="37">
        <f t="shared" si="39"/>
        <v>-368582098.21000004</v>
      </c>
      <c r="G51" s="37">
        <f t="shared" si="39"/>
        <v>-368582098.21000004</v>
      </c>
      <c r="H51" s="37">
        <f t="shared" si="39"/>
        <v>-368582098.21000004</v>
      </c>
      <c r="I51" s="37">
        <f t="shared" si="39"/>
        <v>-368582098.21000004</v>
      </c>
      <c r="J51" s="37">
        <f t="shared" si="39"/>
        <v>-368582098.21000004</v>
      </c>
      <c r="K51" s="37">
        <f t="shared" si="39"/>
        <v>-368582098.21000004</v>
      </c>
      <c r="L51" s="37">
        <f t="shared" si="39"/>
        <v>-368582098.21000004</v>
      </c>
      <c r="M51" s="37">
        <f t="shared" si="39"/>
        <v>-368582098.21000004</v>
      </c>
      <c r="N51" s="37">
        <f t="shared" si="39"/>
        <v>-368582098.21000004</v>
      </c>
      <c r="O51" s="37">
        <f t="shared" si="39"/>
        <v>-368582098.21000004</v>
      </c>
      <c r="P51" s="115" t="s">
        <v>333</v>
      </c>
      <c r="Q51" s="119">
        <f>IFERROR(VLOOKUP(P51,'P12 (Allocation Factors)'!$D:$F,3,0),0)</f>
        <v>0.13393681565544452</v>
      </c>
      <c r="R51" s="41">
        <f t="shared" si="35"/>
        <v>-49366712.541849725</v>
      </c>
      <c r="S51" s="41">
        <f t="shared" si="35"/>
        <v>-49366712.541849725</v>
      </c>
      <c r="T51" s="41">
        <f t="shared" si="35"/>
        <v>-49366712.541849725</v>
      </c>
      <c r="U51" s="41">
        <f t="shared" si="35"/>
        <v>-49366712.541849725</v>
      </c>
      <c r="V51" s="41">
        <f t="shared" si="35"/>
        <v>-49366712.541849725</v>
      </c>
      <c r="W51" s="41">
        <f t="shared" si="35"/>
        <v>-49366712.541849725</v>
      </c>
      <c r="X51" s="41">
        <f t="shared" si="35"/>
        <v>-49366712.541849725</v>
      </c>
      <c r="Y51" s="41">
        <f t="shared" si="35"/>
        <v>-49366712.541849725</v>
      </c>
      <c r="Z51" s="41">
        <f t="shared" si="35"/>
        <v>-49366712.541849725</v>
      </c>
      <c r="AA51" s="41">
        <f t="shared" si="35"/>
        <v>-49366712.541849725</v>
      </c>
      <c r="AB51" s="41">
        <f t="shared" si="35"/>
        <v>-49366712.541849725</v>
      </c>
      <c r="AC51" s="41">
        <f t="shared" si="35"/>
        <v>-49366712.541849725</v>
      </c>
      <c r="AD51" s="41">
        <f t="shared" si="35"/>
        <v>-49366712.541849725</v>
      </c>
      <c r="AE51" s="31" t="s">
        <v>785</v>
      </c>
      <c r="AF51" s="46" t="s">
        <v>700</v>
      </c>
    </row>
    <row r="52" spans="1:32" x14ac:dyDescent="0.25">
      <c r="A52" s="31" t="s">
        <v>513</v>
      </c>
      <c r="B52" s="46" t="s">
        <v>506</v>
      </c>
      <c r="C52" s="37">
        <f>'A8 (ADIT Balances)'!O52</f>
        <v>-4305572</v>
      </c>
      <c r="D52" s="37">
        <f t="shared" ref="D52:O52" si="40">C52</f>
        <v>-4305572</v>
      </c>
      <c r="E52" s="37">
        <f t="shared" si="40"/>
        <v>-4305572</v>
      </c>
      <c r="F52" s="37">
        <f t="shared" si="40"/>
        <v>-4305572</v>
      </c>
      <c r="G52" s="37">
        <f t="shared" si="40"/>
        <v>-4305572</v>
      </c>
      <c r="H52" s="37">
        <f t="shared" si="40"/>
        <v>-4305572</v>
      </c>
      <c r="I52" s="37">
        <f t="shared" si="40"/>
        <v>-4305572</v>
      </c>
      <c r="J52" s="37">
        <f t="shared" si="40"/>
        <v>-4305572</v>
      </c>
      <c r="K52" s="37">
        <f t="shared" si="40"/>
        <v>-4305572</v>
      </c>
      <c r="L52" s="37">
        <f t="shared" si="40"/>
        <v>-4305572</v>
      </c>
      <c r="M52" s="37">
        <f t="shared" si="40"/>
        <v>-4305572</v>
      </c>
      <c r="N52" s="37">
        <f t="shared" si="40"/>
        <v>-4305572</v>
      </c>
      <c r="O52" s="37">
        <f t="shared" si="40"/>
        <v>-4305572</v>
      </c>
      <c r="P52" s="115" t="s">
        <v>29</v>
      </c>
      <c r="Q52" s="119">
        <f>IFERROR(VLOOKUP(P52,'P12 (Allocation Factors)'!$D:$F,3,0),0)</f>
        <v>0</v>
      </c>
      <c r="R52" s="41">
        <f t="shared" si="35"/>
        <v>0</v>
      </c>
      <c r="S52" s="41">
        <f t="shared" si="35"/>
        <v>0</v>
      </c>
      <c r="T52" s="41">
        <f t="shared" si="35"/>
        <v>0</v>
      </c>
      <c r="U52" s="41">
        <f t="shared" si="35"/>
        <v>0</v>
      </c>
      <c r="V52" s="41">
        <f t="shared" si="35"/>
        <v>0</v>
      </c>
      <c r="W52" s="41">
        <f t="shared" si="35"/>
        <v>0</v>
      </c>
      <c r="X52" s="41">
        <f t="shared" si="35"/>
        <v>0</v>
      </c>
      <c r="Y52" s="41">
        <f t="shared" si="35"/>
        <v>0</v>
      </c>
      <c r="Z52" s="41">
        <f t="shared" si="35"/>
        <v>0</v>
      </c>
      <c r="AA52" s="41">
        <f t="shared" si="35"/>
        <v>0</v>
      </c>
      <c r="AB52" s="41">
        <f t="shared" si="35"/>
        <v>0</v>
      </c>
      <c r="AC52" s="41">
        <f t="shared" si="35"/>
        <v>0</v>
      </c>
      <c r="AD52" s="41">
        <f t="shared" si="35"/>
        <v>0</v>
      </c>
      <c r="AE52" s="31" t="s">
        <v>786</v>
      </c>
      <c r="AF52" s="46" t="s">
        <v>701</v>
      </c>
    </row>
    <row r="53" spans="1:32" x14ac:dyDescent="0.25">
      <c r="A53" s="31" t="s">
        <v>514</v>
      </c>
      <c r="B53" s="46" t="s">
        <v>507</v>
      </c>
      <c r="C53" s="37">
        <f>'A8 (ADIT Balances)'!O53</f>
        <v>-56530544.159999996</v>
      </c>
      <c r="D53" s="37">
        <f t="shared" ref="D53:O53" si="41">C53</f>
        <v>-56530544.159999996</v>
      </c>
      <c r="E53" s="37">
        <f t="shared" si="41"/>
        <v>-56530544.159999996</v>
      </c>
      <c r="F53" s="37">
        <f t="shared" si="41"/>
        <v>-56530544.159999996</v>
      </c>
      <c r="G53" s="37">
        <f t="shared" si="41"/>
        <v>-56530544.159999996</v>
      </c>
      <c r="H53" s="37">
        <f t="shared" si="41"/>
        <v>-56530544.159999996</v>
      </c>
      <c r="I53" s="37">
        <f t="shared" si="41"/>
        <v>-56530544.159999996</v>
      </c>
      <c r="J53" s="37">
        <f t="shared" si="41"/>
        <v>-56530544.159999996</v>
      </c>
      <c r="K53" s="37">
        <f t="shared" si="41"/>
        <v>-56530544.159999996</v>
      </c>
      <c r="L53" s="37">
        <f t="shared" si="41"/>
        <v>-56530544.159999996</v>
      </c>
      <c r="M53" s="37">
        <f t="shared" si="41"/>
        <v>-56530544.159999996</v>
      </c>
      <c r="N53" s="37">
        <f t="shared" si="41"/>
        <v>-56530544.159999996</v>
      </c>
      <c r="O53" s="37">
        <f t="shared" si="41"/>
        <v>-56530544.159999996</v>
      </c>
      <c r="P53" s="115" t="s">
        <v>333</v>
      </c>
      <c r="Q53" s="119">
        <f>IFERROR(VLOOKUP(P53,'P12 (Allocation Factors)'!$D:$F,3,0),0)</f>
        <v>0.13393681565544452</v>
      </c>
      <c r="R53" s="41">
        <f t="shared" si="35"/>
        <v>-7571521.0720598856</v>
      </c>
      <c r="S53" s="41">
        <f t="shared" si="35"/>
        <v>-7571521.0720598856</v>
      </c>
      <c r="T53" s="41">
        <f t="shared" si="35"/>
        <v>-7571521.0720598856</v>
      </c>
      <c r="U53" s="41">
        <f t="shared" si="35"/>
        <v>-7571521.0720598856</v>
      </c>
      <c r="V53" s="41">
        <f t="shared" si="35"/>
        <v>-7571521.0720598856</v>
      </c>
      <c r="W53" s="41">
        <f t="shared" si="35"/>
        <v>-7571521.0720598856</v>
      </c>
      <c r="X53" s="41">
        <f t="shared" si="35"/>
        <v>-7571521.0720598856</v>
      </c>
      <c r="Y53" s="41">
        <f t="shared" si="35"/>
        <v>-7571521.0720598856</v>
      </c>
      <c r="Z53" s="41">
        <f t="shared" si="35"/>
        <v>-7571521.0720598856</v>
      </c>
      <c r="AA53" s="41">
        <f t="shared" si="35"/>
        <v>-7571521.0720598856</v>
      </c>
      <c r="AB53" s="41">
        <f t="shared" si="35"/>
        <v>-7571521.0720598856</v>
      </c>
      <c r="AC53" s="41">
        <f t="shared" si="35"/>
        <v>-7571521.0720598856</v>
      </c>
      <c r="AD53" s="41">
        <f t="shared" si="35"/>
        <v>-7571521.0720598856</v>
      </c>
      <c r="AE53" s="31" t="s">
        <v>785</v>
      </c>
      <c r="AF53" s="46" t="s">
        <v>702</v>
      </c>
    </row>
    <row r="54" spans="1:32" x14ac:dyDescent="0.25">
      <c r="A54" s="31" t="s">
        <v>515</v>
      </c>
      <c r="B54" s="46" t="s">
        <v>508</v>
      </c>
      <c r="C54" s="37">
        <f>'A8 (ADIT Balances)'!O54</f>
        <v>-12063896.630000001</v>
      </c>
      <c r="D54" s="37">
        <f t="shared" ref="D54:O54" si="42">C54</f>
        <v>-12063896.630000001</v>
      </c>
      <c r="E54" s="37">
        <f t="shared" si="42"/>
        <v>-12063896.630000001</v>
      </c>
      <c r="F54" s="37">
        <f t="shared" si="42"/>
        <v>-12063896.630000001</v>
      </c>
      <c r="G54" s="37">
        <f t="shared" si="42"/>
        <v>-12063896.630000001</v>
      </c>
      <c r="H54" s="37">
        <f t="shared" si="42"/>
        <v>-12063896.630000001</v>
      </c>
      <c r="I54" s="37">
        <f t="shared" si="42"/>
        <v>-12063896.630000001</v>
      </c>
      <c r="J54" s="37">
        <f t="shared" si="42"/>
        <v>-12063896.630000001</v>
      </c>
      <c r="K54" s="37">
        <f t="shared" si="42"/>
        <v>-12063896.630000001</v>
      </c>
      <c r="L54" s="37">
        <f t="shared" si="42"/>
        <v>-12063896.630000001</v>
      </c>
      <c r="M54" s="37">
        <f t="shared" si="42"/>
        <v>-12063896.630000001</v>
      </c>
      <c r="N54" s="37">
        <f t="shared" si="42"/>
        <v>-12063896.630000001</v>
      </c>
      <c r="O54" s="37">
        <f t="shared" si="42"/>
        <v>-12063896.630000001</v>
      </c>
      <c r="P54" s="115" t="s">
        <v>333</v>
      </c>
      <c r="Q54" s="119">
        <f>IFERROR(VLOOKUP(P54,'P12 (Allocation Factors)'!$D:$F,3,0),0)</f>
        <v>0.13393681565544452</v>
      </c>
      <c r="R54" s="41">
        <f t="shared" si="35"/>
        <v>-1615799.8990186485</v>
      </c>
      <c r="S54" s="41">
        <f t="shared" si="35"/>
        <v>-1615799.8990186485</v>
      </c>
      <c r="T54" s="41">
        <f t="shared" si="35"/>
        <v>-1615799.8990186485</v>
      </c>
      <c r="U54" s="41">
        <f t="shared" si="35"/>
        <v>-1615799.8990186485</v>
      </c>
      <c r="V54" s="41">
        <f t="shared" si="35"/>
        <v>-1615799.8990186485</v>
      </c>
      <c r="W54" s="41">
        <f t="shared" si="35"/>
        <v>-1615799.8990186485</v>
      </c>
      <c r="X54" s="41">
        <f t="shared" si="35"/>
        <v>-1615799.8990186485</v>
      </c>
      <c r="Y54" s="41">
        <f t="shared" si="35"/>
        <v>-1615799.8990186485</v>
      </c>
      <c r="Z54" s="41">
        <f t="shared" si="35"/>
        <v>-1615799.8990186485</v>
      </c>
      <c r="AA54" s="41">
        <f t="shared" si="35"/>
        <v>-1615799.8990186485</v>
      </c>
      <c r="AB54" s="41">
        <f t="shared" si="35"/>
        <v>-1615799.8990186485</v>
      </c>
      <c r="AC54" s="41">
        <f t="shared" si="35"/>
        <v>-1615799.8990186485</v>
      </c>
      <c r="AD54" s="41">
        <f t="shared" si="35"/>
        <v>-1615799.8990186485</v>
      </c>
      <c r="AE54" s="31" t="s">
        <v>785</v>
      </c>
      <c r="AF54" s="46" t="s">
        <v>703</v>
      </c>
    </row>
    <row r="55" spans="1:32" x14ac:dyDescent="0.25">
      <c r="A55" s="31" t="s">
        <v>357</v>
      </c>
      <c r="B55" s="46" t="s">
        <v>357</v>
      </c>
      <c r="C55" s="37"/>
      <c r="D55" s="37"/>
      <c r="E55" s="37"/>
      <c r="F55" s="37"/>
      <c r="G55" s="37"/>
      <c r="H55" s="37"/>
      <c r="I55" s="37"/>
      <c r="J55" s="37"/>
      <c r="K55" s="37"/>
      <c r="L55" s="37"/>
      <c r="M55" s="37"/>
      <c r="N55" s="37"/>
      <c r="O55" s="37"/>
      <c r="P55" s="115" t="s">
        <v>357</v>
      </c>
      <c r="Q55" s="119">
        <f>IFERROR(VLOOKUP(P55,'P12 (Allocation Factors)'!$D:$F,3,0),0)</f>
        <v>0</v>
      </c>
      <c r="R55" s="41">
        <f t="shared" si="35"/>
        <v>0</v>
      </c>
      <c r="S55" s="41">
        <f t="shared" si="35"/>
        <v>0</v>
      </c>
      <c r="T55" s="41">
        <f t="shared" si="35"/>
        <v>0</v>
      </c>
      <c r="U55" s="41">
        <f t="shared" si="35"/>
        <v>0</v>
      </c>
      <c r="V55" s="41">
        <f t="shared" si="35"/>
        <v>0</v>
      </c>
      <c r="W55" s="41">
        <f t="shared" si="35"/>
        <v>0</v>
      </c>
      <c r="X55" s="41">
        <f t="shared" si="35"/>
        <v>0</v>
      </c>
      <c r="Y55" s="41">
        <f t="shared" si="35"/>
        <v>0</v>
      </c>
      <c r="Z55" s="41">
        <f t="shared" si="35"/>
        <v>0</v>
      </c>
      <c r="AA55" s="41">
        <f t="shared" si="35"/>
        <v>0</v>
      </c>
      <c r="AB55" s="41">
        <f t="shared" si="35"/>
        <v>0</v>
      </c>
      <c r="AC55" s="41">
        <f t="shared" si="35"/>
        <v>0</v>
      </c>
      <c r="AD55" s="41">
        <f t="shared" si="35"/>
        <v>0</v>
      </c>
      <c r="AE55" s="31" t="s">
        <v>357</v>
      </c>
      <c r="AF55" s="46" t="s">
        <v>357</v>
      </c>
    </row>
    <row r="56" spans="1:32" x14ac:dyDescent="0.25">
      <c r="A56" s="100" t="s">
        <v>516</v>
      </c>
      <c r="B56" s="48" t="s">
        <v>357</v>
      </c>
      <c r="C56" s="20"/>
      <c r="D56" s="20"/>
      <c r="E56" s="20"/>
      <c r="F56" s="20"/>
      <c r="G56" s="20"/>
      <c r="H56" s="20"/>
      <c r="I56" s="20"/>
      <c r="J56" s="20"/>
      <c r="K56" s="20"/>
      <c r="L56" s="20"/>
      <c r="M56" s="20"/>
      <c r="N56" s="20"/>
      <c r="O56" s="20"/>
      <c r="P56" s="116" t="s">
        <v>357</v>
      </c>
      <c r="Q56" s="119">
        <f>IFERROR(VLOOKUP(P56,'P12 (Allocation Factors)'!$D:$F,3,0),0)</f>
        <v>0</v>
      </c>
      <c r="R56" s="41">
        <f t="shared" si="35"/>
        <v>0</v>
      </c>
      <c r="S56" s="41">
        <f t="shared" si="35"/>
        <v>0</v>
      </c>
      <c r="T56" s="41">
        <f t="shared" si="35"/>
        <v>0</v>
      </c>
      <c r="U56" s="41">
        <f t="shared" si="35"/>
        <v>0</v>
      </c>
      <c r="V56" s="41">
        <f t="shared" si="35"/>
        <v>0</v>
      </c>
      <c r="W56" s="41">
        <f t="shared" si="35"/>
        <v>0</v>
      </c>
      <c r="X56" s="41">
        <f t="shared" si="35"/>
        <v>0</v>
      </c>
      <c r="Y56" s="41">
        <f t="shared" si="35"/>
        <v>0</v>
      </c>
      <c r="Z56" s="41">
        <f t="shared" si="35"/>
        <v>0</v>
      </c>
      <c r="AA56" s="41">
        <f t="shared" si="35"/>
        <v>0</v>
      </c>
      <c r="AB56" s="41">
        <f t="shared" si="35"/>
        <v>0</v>
      </c>
      <c r="AC56" s="41">
        <f t="shared" si="35"/>
        <v>0</v>
      </c>
      <c r="AD56" s="41">
        <f t="shared" si="35"/>
        <v>0</v>
      </c>
      <c r="AE56" s="31" t="s">
        <v>357</v>
      </c>
      <c r="AF56" s="46" t="s">
        <v>357</v>
      </c>
    </row>
    <row r="57" spans="1:32" s="6" customFormat="1" x14ac:dyDescent="0.25">
      <c r="A57" s="88">
        <v>6</v>
      </c>
      <c r="B57" s="89" t="str">
        <f>"Total Account No. 282 (Sum Lns. "&amp;A47&amp;" through "&amp;A56&amp;")"</f>
        <v>Total Account No. 282 (Sum Lns. 5a through 5zz)</v>
      </c>
      <c r="C57" s="90">
        <f>SUM(C47:C56)</f>
        <v>-499156700.65999997</v>
      </c>
      <c r="D57" s="90">
        <f t="shared" ref="D57:O57" si="43">SUM(D47:D56)</f>
        <v>-499156700.65999997</v>
      </c>
      <c r="E57" s="90">
        <f t="shared" si="43"/>
        <v>-499156700.65999997</v>
      </c>
      <c r="F57" s="90">
        <f t="shared" si="43"/>
        <v>-499156700.65999997</v>
      </c>
      <c r="G57" s="90">
        <f t="shared" si="43"/>
        <v>-499156700.65999997</v>
      </c>
      <c r="H57" s="90">
        <f t="shared" si="43"/>
        <v>-499156700.65999997</v>
      </c>
      <c r="I57" s="90">
        <f t="shared" si="43"/>
        <v>-499156700.65999997</v>
      </c>
      <c r="J57" s="90">
        <f t="shared" si="43"/>
        <v>-499156700.65999997</v>
      </c>
      <c r="K57" s="90">
        <f t="shared" si="43"/>
        <v>-499156700.65999997</v>
      </c>
      <c r="L57" s="90">
        <f t="shared" si="43"/>
        <v>-499156700.65999997</v>
      </c>
      <c r="M57" s="90">
        <f t="shared" si="43"/>
        <v>-499156700.65999997</v>
      </c>
      <c r="N57" s="90">
        <f t="shared" si="43"/>
        <v>-499156700.65999997</v>
      </c>
      <c r="O57" s="90">
        <f t="shared" si="43"/>
        <v>-499156700.65999997</v>
      </c>
      <c r="P57" s="90"/>
      <c r="Q57" s="90"/>
      <c r="R57" s="90">
        <f t="shared" ref="R57:AD57" si="44">SUM(R47:R56)</f>
        <v>-62264764.896305889</v>
      </c>
      <c r="S57" s="90">
        <f t="shared" si="44"/>
        <v>-62264764.896305889</v>
      </c>
      <c r="T57" s="90">
        <f t="shared" si="44"/>
        <v>-62264764.896305889</v>
      </c>
      <c r="U57" s="90">
        <f t="shared" si="44"/>
        <v>-62264764.896305889</v>
      </c>
      <c r="V57" s="90">
        <f t="shared" si="44"/>
        <v>-62264764.896305889</v>
      </c>
      <c r="W57" s="90">
        <f t="shared" si="44"/>
        <v>-62264764.896305889</v>
      </c>
      <c r="X57" s="90">
        <f t="shared" si="44"/>
        <v>-62264764.896305889</v>
      </c>
      <c r="Y57" s="90">
        <f t="shared" si="44"/>
        <v>-62264764.896305889</v>
      </c>
      <c r="Z57" s="90">
        <f t="shared" si="44"/>
        <v>-62264764.896305889</v>
      </c>
      <c r="AA57" s="90">
        <f t="shared" si="44"/>
        <v>-62264764.896305889</v>
      </c>
      <c r="AB57" s="90">
        <f t="shared" si="44"/>
        <v>-62264764.896305889</v>
      </c>
      <c r="AC57" s="90">
        <f t="shared" si="44"/>
        <v>-62264764.896305889</v>
      </c>
      <c r="AD57" s="90">
        <f t="shared" si="44"/>
        <v>-62264764.896305889</v>
      </c>
      <c r="AE57" s="90"/>
      <c r="AF57" s="90"/>
    </row>
    <row r="58" spans="1:32" s="6" customFormat="1" x14ac:dyDescent="0.25">
      <c r="A58" s="16"/>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row>
    <row r="59" spans="1:32" s="127" customFormat="1" x14ac:dyDescent="0.25">
      <c r="A59" s="126">
        <f>A57+1</f>
        <v>7</v>
      </c>
      <c r="B59" s="127" t="s">
        <v>777</v>
      </c>
      <c r="C59" s="128">
        <f>SUMIF($AE$47:$AE$56,"Yes",C$47:C$56)</f>
        <v>-464881627.88999999</v>
      </c>
      <c r="D59" s="128">
        <f t="shared" ref="D59:O59" si="45">SUMIF($AE$47:$AE$56,"Yes",D$47:D$56)</f>
        <v>-464881627.88999999</v>
      </c>
      <c r="E59" s="128">
        <f t="shared" si="45"/>
        <v>-464881627.88999999</v>
      </c>
      <c r="F59" s="128">
        <f t="shared" si="45"/>
        <v>-464881627.88999999</v>
      </c>
      <c r="G59" s="128">
        <f t="shared" si="45"/>
        <v>-464881627.88999999</v>
      </c>
      <c r="H59" s="128">
        <f t="shared" si="45"/>
        <v>-464881627.88999999</v>
      </c>
      <c r="I59" s="128">
        <f t="shared" si="45"/>
        <v>-464881627.88999999</v>
      </c>
      <c r="J59" s="128">
        <f t="shared" si="45"/>
        <v>-464881627.88999999</v>
      </c>
      <c r="K59" s="128">
        <f t="shared" si="45"/>
        <v>-464881627.88999999</v>
      </c>
      <c r="L59" s="128">
        <f t="shared" si="45"/>
        <v>-464881627.88999999</v>
      </c>
      <c r="M59" s="128">
        <f t="shared" si="45"/>
        <v>-464881627.88999999</v>
      </c>
      <c r="N59" s="128">
        <f t="shared" si="45"/>
        <v>-464881627.88999999</v>
      </c>
      <c r="O59" s="128">
        <f t="shared" si="45"/>
        <v>-464881627.88999999</v>
      </c>
      <c r="P59" s="128"/>
      <c r="Q59" s="128"/>
      <c r="R59" s="128">
        <f>SUMIF($AE$47:$AE$56,"Yes",R$47:R$56)</f>
        <v>-62264764.896305889</v>
      </c>
      <c r="S59" s="128">
        <f t="shared" ref="S59:AC59" si="46">SUMIF($AE$47:$AE$56,"Yes",S$47:S$56)</f>
        <v>-62264764.896305889</v>
      </c>
      <c r="T59" s="128">
        <f t="shared" si="46"/>
        <v>-62264764.896305889</v>
      </c>
      <c r="U59" s="128">
        <f t="shared" si="46"/>
        <v>-62264764.896305889</v>
      </c>
      <c r="V59" s="128">
        <f t="shared" si="46"/>
        <v>-62264764.896305889</v>
      </c>
      <c r="W59" s="128">
        <f t="shared" si="46"/>
        <v>-62264764.896305889</v>
      </c>
      <c r="X59" s="128">
        <f t="shared" si="46"/>
        <v>-62264764.896305889</v>
      </c>
      <c r="Y59" s="128">
        <f t="shared" si="46"/>
        <v>-62264764.896305889</v>
      </c>
      <c r="Z59" s="128">
        <f t="shared" si="46"/>
        <v>-62264764.896305889</v>
      </c>
      <c r="AA59" s="128">
        <f t="shared" si="46"/>
        <v>-62264764.896305889</v>
      </c>
      <c r="AB59" s="128">
        <f t="shared" si="46"/>
        <v>-62264764.896305889</v>
      </c>
      <c r="AC59" s="128">
        <f t="shared" si="46"/>
        <v>-62264764.896305889</v>
      </c>
      <c r="AD59" s="128">
        <f>SUMIF($AE$47:$AE$56,"Yes",AD$47:AD$56)</f>
        <v>-62264764.896305889</v>
      </c>
      <c r="AE59" s="128"/>
      <c r="AF59" s="128"/>
    </row>
    <row r="60" spans="1:32" s="127" customFormat="1" hidden="1" x14ac:dyDescent="0.25">
      <c r="A60" s="126"/>
      <c r="C60" s="128"/>
      <c r="D60" s="128"/>
      <c r="E60" s="128"/>
      <c r="F60" s="128"/>
      <c r="G60" s="128"/>
      <c r="H60" s="128"/>
      <c r="I60" s="128"/>
      <c r="J60" s="128"/>
      <c r="K60" s="128"/>
      <c r="L60" s="128"/>
      <c r="M60" s="128"/>
      <c r="N60" s="128"/>
      <c r="O60" s="128"/>
      <c r="P60" s="128"/>
      <c r="Q60" s="128"/>
      <c r="R60" s="128"/>
      <c r="S60" s="128">
        <f>S59-R59</f>
        <v>0</v>
      </c>
      <c r="T60" s="128">
        <f t="shared" ref="T60:AD60" si="47">T59-S59</f>
        <v>0</v>
      </c>
      <c r="U60" s="128">
        <f t="shared" si="47"/>
        <v>0</v>
      </c>
      <c r="V60" s="128">
        <f t="shared" si="47"/>
        <v>0</v>
      </c>
      <c r="W60" s="128">
        <f t="shared" si="47"/>
        <v>0</v>
      </c>
      <c r="X60" s="128">
        <f t="shared" si="47"/>
        <v>0</v>
      </c>
      <c r="Y60" s="128">
        <f t="shared" si="47"/>
        <v>0</v>
      </c>
      <c r="Z60" s="128">
        <f t="shared" si="47"/>
        <v>0</v>
      </c>
      <c r="AA60" s="128">
        <f t="shared" si="47"/>
        <v>0</v>
      </c>
      <c r="AB60" s="128">
        <f t="shared" si="47"/>
        <v>0</v>
      </c>
      <c r="AC60" s="128">
        <f t="shared" si="47"/>
        <v>0</v>
      </c>
      <c r="AD60" s="128">
        <f t="shared" si="47"/>
        <v>0</v>
      </c>
      <c r="AE60" s="128"/>
      <c r="AF60" s="128"/>
    </row>
    <row r="61" spans="1:32" s="127" customFormat="1" x14ac:dyDescent="0.25">
      <c r="A61" s="126">
        <f>A59+1</f>
        <v>8</v>
      </c>
      <c r="B61" s="127" t="s">
        <v>778</v>
      </c>
      <c r="C61" s="128">
        <f>SUMIF($AE$47:$AE$56,"No",C$47:C$56)</f>
        <v>-34275072.769999996</v>
      </c>
      <c r="D61" s="128">
        <f t="shared" ref="D61:O61" si="48">SUMIF($AE$47:$AE$56,"No",D$47:D$56)</f>
        <v>-34275072.769999996</v>
      </c>
      <c r="E61" s="128">
        <f t="shared" si="48"/>
        <v>-34275072.769999996</v>
      </c>
      <c r="F61" s="128">
        <f t="shared" si="48"/>
        <v>-34275072.769999996</v>
      </c>
      <c r="G61" s="128">
        <f t="shared" si="48"/>
        <v>-34275072.769999996</v>
      </c>
      <c r="H61" s="128">
        <f t="shared" si="48"/>
        <v>-34275072.769999996</v>
      </c>
      <c r="I61" s="128">
        <f t="shared" si="48"/>
        <v>-34275072.769999996</v>
      </c>
      <c r="J61" s="128">
        <f t="shared" si="48"/>
        <v>-34275072.769999996</v>
      </c>
      <c r="K61" s="128">
        <f t="shared" si="48"/>
        <v>-34275072.769999996</v>
      </c>
      <c r="L61" s="128">
        <f t="shared" si="48"/>
        <v>-34275072.769999996</v>
      </c>
      <c r="M61" s="128">
        <f t="shared" si="48"/>
        <v>-34275072.769999996</v>
      </c>
      <c r="N61" s="128">
        <f t="shared" si="48"/>
        <v>-34275072.769999996</v>
      </c>
      <c r="O61" s="128">
        <f t="shared" si="48"/>
        <v>-34275072.769999996</v>
      </c>
      <c r="P61" s="128"/>
      <c r="Q61" s="128"/>
      <c r="R61" s="128">
        <f>SUMIF($AE$47:$AE$56,"No",R$47:R$56)</f>
        <v>0</v>
      </c>
      <c r="S61" s="128">
        <f t="shared" ref="S61:AD61" si="49">SUMIF($AE$47:$AE$56,"No",S$47:S$56)</f>
        <v>0</v>
      </c>
      <c r="T61" s="128">
        <f t="shared" si="49"/>
        <v>0</v>
      </c>
      <c r="U61" s="128">
        <f t="shared" si="49"/>
        <v>0</v>
      </c>
      <c r="V61" s="128">
        <f t="shared" si="49"/>
        <v>0</v>
      </c>
      <c r="W61" s="128">
        <f t="shared" si="49"/>
        <v>0</v>
      </c>
      <c r="X61" s="128">
        <f t="shared" si="49"/>
        <v>0</v>
      </c>
      <c r="Y61" s="128">
        <f t="shared" si="49"/>
        <v>0</v>
      </c>
      <c r="Z61" s="128">
        <f t="shared" si="49"/>
        <v>0</v>
      </c>
      <c r="AA61" s="128">
        <f t="shared" si="49"/>
        <v>0</v>
      </c>
      <c r="AB61" s="128">
        <f t="shared" si="49"/>
        <v>0</v>
      </c>
      <c r="AC61" s="128">
        <f t="shared" si="49"/>
        <v>0</v>
      </c>
      <c r="AD61" s="128">
        <f t="shared" si="49"/>
        <v>0</v>
      </c>
      <c r="AE61" s="128"/>
      <c r="AF61" s="128"/>
    </row>
    <row r="63" spans="1:32" ht="18.75" x14ac:dyDescent="0.25">
      <c r="A63" s="89" t="s">
        <v>706</v>
      </c>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row>
    <row r="64" spans="1:32" x14ac:dyDescent="0.25">
      <c r="A64" s="31" t="s">
        <v>554</v>
      </c>
      <c r="B64" s="46" t="s">
        <v>504</v>
      </c>
      <c r="C64" s="37">
        <f>'A8 (ADIT Balances)'!O64</f>
        <v>-7117192.7999999998</v>
      </c>
      <c r="D64" s="37">
        <f t="shared" ref="D64:O64" si="50">C64</f>
        <v>-7117192.7999999998</v>
      </c>
      <c r="E64" s="37">
        <f t="shared" si="50"/>
        <v>-7117192.7999999998</v>
      </c>
      <c r="F64" s="37">
        <f t="shared" si="50"/>
        <v>-7117192.7999999998</v>
      </c>
      <c r="G64" s="37">
        <f t="shared" si="50"/>
        <v>-7117192.7999999998</v>
      </c>
      <c r="H64" s="37">
        <f t="shared" si="50"/>
        <v>-7117192.7999999998</v>
      </c>
      <c r="I64" s="37">
        <f t="shared" si="50"/>
        <v>-7117192.7999999998</v>
      </c>
      <c r="J64" s="37">
        <f t="shared" si="50"/>
        <v>-7117192.7999999998</v>
      </c>
      <c r="K64" s="37">
        <f t="shared" si="50"/>
        <v>-7117192.7999999998</v>
      </c>
      <c r="L64" s="37">
        <f t="shared" si="50"/>
        <v>-7117192.7999999998</v>
      </c>
      <c r="M64" s="37">
        <f t="shared" si="50"/>
        <v>-7117192.7999999998</v>
      </c>
      <c r="N64" s="37">
        <f t="shared" si="50"/>
        <v>-7117192.7999999998</v>
      </c>
      <c r="O64" s="37">
        <f t="shared" si="50"/>
        <v>-7117192.7999999998</v>
      </c>
      <c r="P64" s="114" t="s">
        <v>29</v>
      </c>
      <c r="Q64" s="119">
        <f>IFERROR(VLOOKUP(P64,'P12 (Allocation Factors)'!$D:$F,3,0),0)</f>
        <v>0</v>
      </c>
      <c r="R64" s="41">
        <f t="shared" ref="R64:AD76" si="51">C64*$Q64</f>
        <v>0</v>
      </c>
      <c r="S64" s="41">
        <f t="shared" si="51"/>
        <v>0</v>
      </c>
      <c r="T64" s="41">
        <f t="shared" si="51"/>
        <v>0</v>
      </c>
      <c r="U64" s="41">
        <f t="shared" si="51"/>
        <v>0</v>
      </c>
      <c r="V64" s="41">
        <f t="shared" si="51"/>
        <v>0</v>
      </c>
      <c r="W64" s="41">
        <f t="shared" si="51"/>
        <v>0</v>
      </c>
      <c r="X64" s="41">
        <f t="shared" si="51"/>
        <v>0</v>
      </c>
      <c r="Y64" s="41">
        <f t="shared" si="51"/>
        <v>0</v>
      </c>
      <c r="Z64" s="41">
        <f t="shared" si="51"/>
        <v>0</v>
      </c>
      <c r="AA64" s="41">
        <f t="shared" si="51"/>
        <v>0</v>
      </c>
      <c r="AB64" s="41">
        <f t="shared" si="51"/>
        <v>0</v>
      </c>
      <c r="AC64" s="41">
        <f t="shared" si="51"/>
        <v>0</v>
      </c>
      <c r="AD64" s="41">
        <f t="shared" si="51"/>
        <v>0</v>
      </c>
      <c r="AE64" s="31" t="s">
        <v>786</v>
      </c>
      <c r="AF64" s="46" t="s">
        <v>699</v>
      </c>
    </row>
    <row r="65" spans="1:32" x14ac:dyDescent="0.25">
      <c r="A65" s="31" t="s">
        <v>555</v>
      </c>
      <c r="B65" s="46" t="s">
        <v>505</v>
      </c>
      <c r="C65" s="37">
        <f>'A8 (ADIT Balances)'!O65</f>
        <v>-476694.51</v>
      </c>
      <c r="D65" s="37">
        <f t="shared" ref="D65:O65" si="52">C65</f>
        <v>-476694.51</v>
      </c>
      <c r="E65" s="37">
        <f t="shared" si="52"/>
        <v>-476694.51</v>
      </c>
      <c r="F65" s="37">
        <f t="shared" si="52"/>
        <v>-476694.51</v>
      </c>
      <c r="G65" s="37">
        <f t="shared" si="52"/>
        <v>-476694.51</v>
      </c>
      <c r="H65" s="37">
        <f t="shared" si="52"/>
        <v>-476694.51</v>
      </c>
      <c r="I65" s="37">
        <f t="shared" si="52"/>
        <v>-476694.51</v>
      </c>
      <c r="J65" s="37">
        <f t="shared" si="52"/>
        <v>-476694.51</v>
      </c>
      <c r="K65" s="37">
        <f t="shared" si="52"/>
        <v>-476694.51</v>
      </c>
      <c r="L65" s="37">
        <f t="shared" si="52"/>
        <v>-476694.51</v>
      </c>
      <c r="M65" s="37">
        <f t="shared" si="52"/>
        <v>-476694.51</v>
      </c>
      <c r="N65" s="37">
        <f t="shared" si="52"/>
        <v>-476694.51</v>
      </c>
      <c r="O65" s="37">
        <f t="shared" si="52"/>
        <v>-476694.51</v>
      </c>
      <c r="P65" s="115" t="s">
        <v>29</v>
      </c>
      <c r="Q65" s="119">
        <f>IFERROR(VLOOKUP(P65,'P12 (Allocation Factors)'!$D:$F,3,0),0)</f>
        <v>0</v>
      </c>
      <c r="R65" s="41">
        <f t="shared" si="51"/>
        <v>0</v>
      </c>
      <c r="S65" s="41">
        <f t="shared" si="51"/>
        <v>0</v>
      </c>
      <c r="T65" s="41">
        <f t="shared" si="51"/>
        <v>0</v>
      </c>
      <c r="U65" s="41">
        <f t="shared" si="51"/>
        <v>0</v>
      </c>
      <c r="V65" s="41">
        <f t="shared" si="51"/>
        <v>0</v>
      </c>
      <c r="W65" s="41">
        <f t="shared" si="51"/>
        <v>0</v>
      </c>
      <c r="X65" s="41">
        <f t="shared" si="51"/>
        <v>0</v>
      </c>
      <c r="Y65" s="41">
        <f t="shared" si="51"/>
        <v>0</v>
      </c>
      <c r="Z65" s="41">
        <f t="shared" si="51"/>
        <v>0</v>
      </c>
      <c r="AA65" s="41">
        <f t="shared" si="51"/>
        <v>0</v>
      </c>
      <c r="AB65" s="41">
        <f t="shared" si="51"/>
        <v>0</v>
      </c>
      <c r="AC65" s="41">
        <f t="shared" si="51"/>
        <v>0</v>
      </c>
      <c r="AD65" s="41">
        <f t="shared" si="51"/>
        <v>0</v>
      </c>
      <c r="AE65" s="31" t="s">
        <v>786</v>
      </c>
      <c r="AF65" s="46" t="s">
        <v>698</v>
      </c>
    </row>
    <row r="66" spans="1:32" x14ac:dyDescent="0.25">
      <c r="A66" s="31" t="s">
        <v>556</v>
      </c>
      <c r="B66" s="46" t="s">
        <v>517</v>
      </c>
      <c r="C66" s="37">
        <f>'A8 (ADIT Balances)'!O66</f>
        <v>-2942223.84</v>
      </c>
      <c r="D66" s="37">
        <f t="shared" ref="D66:O66" si="53">C66</f>
        <v>-2942223.84</v>
      </c>
      <c r="E66" s="37">
        <f t="shared" si="53"/>
        <v>-2942223.84</v>
      </c>
      <c r="F66" s="37">
        <f t="shared" si="53"/>
        <v>-2942223.84</v>
      </c>
      <c r="G66" s="37">
        <f t="shared" si="53"/>
        <v>-2942223.84</v>
      </c>
      <c r="H66" s="37">
        <f t="shared" si="53"/>
        <v>-2942223.84</v>
      </c>
      <c r="I66" s="37">
        <f t="shared" si="53"/>
        <v>-2942223.84</v>
      </c>
      <c r="J66" s="37">
        <f t="shared" si="53"/>
        <v>-2942223.84</v>
      </c>
      <c r="K66" s="37">
        <f t="shared" si="53"/>
        <v>-2942223.84</v>
      </c>
      <c r="L66" s="37">
        <f t="shared" si="53"/>
        <v>-2942223.84</v>
      </c>
      <c r="M66" s="37">
        <f t="shared" si="53"/>
        <v>-2942223.84</v>
      </c>
      <c r="N66" s="37">
        <f t="shared" si="53"/>
        <v>-2942223.84</v>
      </c>
      <c r="O66" s="37">
        <f t="shared" si="53"/>
        <v>-2942223.84</v>
      </c>
      <c r="P66" s="115" t="s">
        <v>333</v>
      </c>
      <c r="Q66" s="119">
        <f>IFERROR(VLOOKUP(P66,'P12 (Allocation Factors)'!$D:$F,3,0),0)</f>
        <v>0.13393681565544452</v>
      </c>
      <c r="R66" s="41">
        <f t="shared" si="51"/>
        <v>-394072.09207513405</v>
      </c>
      <c r="S66" s="41">
        <f t="shared" si="51"/>
        <v>-394072.09207513405</v>
      </c>
      <c r="T66" s="41">
        <f t="shared" si="51"/>
        <v>-394072.09207513405</v>
      </c>
      <c r="U66" s="41">
        <f t="shared" si="51"/>
        <v>-394072.09207513405</v>
      </c>
      <c r="V66" s="41">
        <f t="shared" si="51"/>
        <v>-394072.09207513405</v>
      </c>
      <c r="W66" s="41">
        <f t="shared" si="51"/>
        <v>-394072.09207513405</v>
      </c>
      <c r="X66" s="41">
        <f t="shared" si="51"/>
        <v>-394072.09207513405</v>
      </c>
      <c r="Y66" s="41">
        <f t="shared" si="51"/>
        <v>-394072.09207513405</v>
      </c>
      <c r="Z66" s="41">
        <f t="shared" si="51"/>
        <v>-394072.09207513405</v>
      </c>
      <c r="AA66" s="41">
        <f t="shared" si="51"/>
        <v>-394072.09207513405</v>
      </c>
      <c r="AB66" s="41">
        <f t="shared" si="51"/>
        <v>-394072.09207513405</v>
      </c>
      <c r="AC66" s="41">
        <f t="shared" si="51"/>
        <v>-394072.09207513405</v>
      </c>
      <c r="AD66" s="41">
        <f t="shared" si="51"/>
        <v>-394072.09207513405</v>
      </c>
      <c r="AE66" s="31" t="s">
        <v>785</v>
      </c>
      <c r="AF66" s="46" t="s">
        <v>900</v>
      </c>
    </row>
    <row r="67" spans="1:32" x14ac:dyDescent="0.25">
      <c r="A67" s="31" t="s">
        <v>557</v>
      </c>
      <c r="B67" s="46" t="s">
        <v>485</v>
      </c>
      <c r="C67" s="37">
        <f>'A8 (ADIT Balances)'!O67</f>
        <v>-21166852.800000001</v>
      </c>
      <c r="D67" s="37">
        <f t="shared" ref="D67:O67" si="54">C67</f>
        <v>-21166852.800000001</v>
      </c>
      <c r="E67" s="37">
        <f t="shared" si="54"/>
        <v>-21166852.800000001</v>
      </c>
      <c r="F67" s="37">
        <f t="shared" si="54"/>
        <v>-21166852.800000001</v>
      </c>
      <c r="G67" s="37">
        <f t="shared" si="54"/>
        <v>-21166852.800000001</v>
      </c>
      <c r="H67" s="37">
        <f t="shared" si="54"/>
        <v>-21166852.800000001</v>
      </c>
      <c r="I67" s="37">
        <f t="shared" si="54"/>
        <v>-21166852.800000001</v>
      </c>
      <c r="J67" s="37">
        <f t="shared" si="54"/>
        <v>-21166852.800000001</v>
      </c>
      <c r="K67" s="37">
        <f t="shared" si="54"/>
        <v>-21166852.800000001</v>
      </c>
      <c r="L67" s="37">
        <f t="shared" si="54"/>
        <v>-21166852.800000001</v>
      </c>
      <c r="M67" s="37">
        <f t="shared" si="54"/>
        <v>-21166852.800000001</v>
      </c>
      <c r="N67" s="37">
        <f t="shared" si="54"/>
        <v>-21166852.800000001</v>
      </c>
      <c r="O67" s="37">
        <f t="shared" si="54"/>
        <v>-21166852.800000001</v>
      </c>
      <c r="P67" s="115" t="s">
        <v>29</v>
      </c>
      <c r="Q67" s="119">
        <f>IFERROR(VLOOKUP(P67,'P12 (Allocation Factors)'!$D:$F,3,0),0)</f>
        <v>0</v>
      </c>
      <c r="R67" s="41">
        <f t="shared" si="51"/>
        <v>0</v>
      </c>
      <c r="S67" s="41">
        <f t="shared" si="51"/>
        <v>0</v>
      </c>
      <c r="T67" s="41">
        <f t="shared" si="51"/>
        <v>0</v>
      </c>
      <c r="U67" s="41">
        <f t="shared" si="51"/>
        <v>0</v>
      </c>
      <c r="V67" s="41">
        <f t="shared" si="51"/>
        <v>0</v>
      </c>
      <c r="W67" s="41">
        <f t="shared" si="51"/>
        <v>0</v>
      </c>
      <c r="X67" s="41">
        <f t="shared" si="51"/>
        <v>0</v>
      </c>
      <c r="Y67" s="41">
        <f t="shared" si="51"/>
        <v>0</v>
      </c>
      <c r="Z67" s="41">
        <f t="shared" si="51"/>
        <v>0</v>
      </c>
      <c r="AA67" s="41">
        <f t="shared" si="51"/>
        <v>0</v>
      </c>
      <c r="AB67" s="41">
        <f t="shared" si="51"/>
        <v>0</v>
      </c>
      <c r="AC67" s="41">
        <f t="shared" si="51"/>
        <v>0</v>
      </c>
      <c r="AD67" s="41">
        <f t="shared" si="51"/>
        <v>0</v>
      </c>
      <c r="AE67" s="31" t="s">
        <v>786</v>
      </c>
      <c r="AF67" s="46" t="s">
        <v>771</v>
      </c>
    </row>
    <row r="68" spans="1:32" x14ac:dyDescent="0.25">
      <c r="A68" s="31" t="s">
        <v>558</v>
      </c>
      <c r="B68" s="46" t="s">
        <v>486</v>
      </c>
      <c r="C68" s="37">
        <f>'A8 (ADIT Balances)'!O68</f>
        <v>-10477.26</v>
      </c>
      <c r="D68" s="37">
        <f t="shared" ref="D68:O68" si="55">C68</f>
        <v>-10477.26</v>
      </c>
      <c r="E68" s="37">
        <f t="shared" si="55"/>
        <v>-10477.26</v>
      </c>
      <c r="F68" s="37">
        <f t="shared" si="55"/>
        <v>-10477.26</v>
      </c>
      <c r="G68" s="37">
        <f t="shared" si="55"/>
        <v>-10477.26</v>
      </c>
      <c r="H68" s="37">
        <f t="shared" si="55"/>
        <v>-10477.26</v>
      </c>
      <c r="I68" s="37">
        <f t="shared" si="55"/>
        <v>-10477.26</v>
      </c>
      <c r="J68" s="37">
        <f t="shared" si="55"/>
        <v>-10477.26</v>
      </c>
      <c r="K68" s="37">
        <f t="shared" si="55"/>
        <v>-10477.26</v>
      </c>
      <c r="L68" s="37">
        <f t="shared" si="55"/>
        <v>-10477.26</v>
      </c>
      <c r="M68" s="37">
        <f t="shared" si="55"/>
        <v>-10477.26</v>
      </c>
      <c r="N68" s="37">
        <f t="shared" si="55"/>
        <v>-10477.26</v>
      </c>
      <c r="O68" s="37">
        <f t="shared" si="55"/>
        <v>-10477.26</v>
      </c>
      <c r="P68" s="115" t="s">
        <v>29</v>
      </c>
      <c r="Q68" s="119">
        <f>IFERROR(VLOOKUP(P68,'P12 (Allocation Factors)'!$D:$F,3,0),0)</f>
        <v>0</v>
      </c>
      <c r="R68" s="41">
        <f t="shared" si="51"/>
        <v>0</v>
      </c>
      <c r="S68" s="41">
        <f t="shared" si="51"/>
        <v>0</v>
      </c>
      <c r="T68" s="41">
        <f t="shared" si="51"/>
        <v>0</v>
      </c>
      <c r="U68" s="41">
        <f t="shared" si="51"/>
        <v>0</v>
      </c>
      <c r="V68" s="41">
        <f t="shared" si="51"/>
        <v>0</v>
      </c>
      <c r="W68" s="41">
        <f t="shared" si="51"/>
        <v>0</v>
      </c>
      <c r="X68" s="41">
        <f t="shared" si="51"/>
        <v>0</v>
      </c>
      <c r="Y68" s="41">
        <f t="shared" si="51"/>
        <v>0</v>
      </c>
      <c r="Z68" s="41">
        <f t="shared" si="51"/>
        <v>0</v>
      </c>
      <c r="AA68" s="41">
        <f t="shared" si="51"/>
        <v>0</v>
      </c>
      <c r="AB68" s="41">
        <f t="shared" si="51"/>
        <v>0</v>
      </c>
      <c r="AC68" s="41">
        <f t="shared" si="51"/>
        <v>0</v>
      </c>
      <c r="AD68" s="41">
        <f t="shared" si="51"/>
        <v>0</v>
      </c>
      <c r="AE68" s="31" t="s">
        <v>786</v>
      </c>
      <c r="AF68" s="46" t="s">
        <v>767</v>
      </c>
    </row>
    <row r="69" spans="1:32" x14ac:dyDescent="0.25">
      <c r="A69" s="31" t="s">
        <v>779</v>
      </c>
      <c r="B69" s="46" t="s">
        <v>487</v>
      </c>
      <c r="C69" s="37">
        <f>'A8 (ADIT Balances)'!O69</f>
        <v>-480528.04</v>
      </c>
      <c r="D69" s="37">
        <f t="shared" ref="D69:O69" si="56">C69</f>
        <v>-480528.04</v>
      </c>
      <c r="E69" s="37">
        <f t="shared" si="56"/>
        <v>-480528.04</v>
      </c>
      <c r="F69" s="37">
        <f t="shared" si="56"/>
        <v>-480528.04</v>
      </c>
      <c r="G69" s="37">
        <f t="shared" si="56"/>
        <v>-480528.04</v>
      </c>
      <c r="H69" s="37">
        <f t="shared" si="56"/>
        <v>-480528.04</v>
      </c>
      <c r="I69" s="37">
        <f t="shared" si="56"/>
        <v>-480528.04</v>
      </c>
      <c r="J69" s="37">
        <f t="shared" si="56"/>
        <v>-480528.04</v>
      </c>
      <c r="K69" s="37">
        <f t="shared" si="56"/>
        <v>-480528.04</v>
      </c>
      <c r="L69" s="37">
        <f t="shared" si="56"/>
        <v>-480528.04</v>
      </c>
      <c r="M69" s="37">
        <f t="shared" si="56"/>
        <v>-480528.04</v>
      </c>
      <c r="N69" s="37">
        <f t="shared" si="56"/>
        <v>-480528.04</v>
      </c>
      <c r="O69" s="37">
        <f t="shared" si="56"/>
        <v>-480528.04</v>
      </c>
      <c r="P69" s="115" t="s">
        <v>29</v>
      </c>
      <c r="Q69" s="119">
        <f>IFERROR(VLOOKUP(P69,'P12 (Allocation Factors)'!$D:$F,3,0),0)</f>
        <v>0</v>
      </c>
      <c r="R69" s="41">
        <f t="shared" si="51"/>
        <v>0</v>
      </c>
      <c r="S69" s="41">
        <f t="shared" si="51"/>
        <v>0</v>
      </c>
      <c r="T69" s="41">
        <f t="shared" si="51"/>
        <v>0</v>
      </c>
      <c r="U69" s="41">
        <f t="shared" si="51"/>
        <v>0</v>
      </c>
      <c r="V69" s="41">
        <f t="shared" si="51"/>
        <v>0</v>
      </c>
      <c r="W69" s="41">
        <f t="shared" si="51"/>
        <v>0</v>
      </c>
      <c r="X69" s="41">
        <f t="shared" si="51"/>
        <v>0</v>
      </c>
      <c r="Y69" s="41">
        <f t="shared" si="51"/>
        <v>0</v>
      </c>
      <c r="Z69" s="41">
        <f t="shared" si="51"/>
        <v>0</v>
      </c>
      <c r="AA69" s="41">
        <f t="shared" si="51"/>
        <v>0</v>
      </c>
      <c r="AB69" s="41">
        <f t="shared" si="51"/>
        <v>0</v>
      </c>
      <c r="AC69" s="41">
        <f t="shared" si="51"/>
        <v>0</v>
      </c>
      <c r="AD69" s="41">
        <f t="shared" si="51"/>
        <v>0</v>
      </c>
      <c r="AE69" s="31" t="s">
        <v>786</v>
      </c>
      <c r="AF69" s="46" t="s">
        <v>767</v>
      </c>
    </row>
    <row r="70" spans="1:32" x14ac:dyDescent="0.25">
      <c r="A70" s="33" t="s">
        <v>780</v>
      </c>
      <c r="B70" s="53" t="s">
        <v>488</v>
      </c>
      <c r="C70" s="37">
        <f>'A8 (ADIT Balances)'!O70</f>
        <v>-2363369.91</v>
      </c>
      <c r="D70" s="37">
        <f t="shared" ref="D70:O70" si="57">C70</f>
        <v>-2363369.91</v>
      </c>
      <c r="E70" s="37">
        <f t="shared" si="57"/>
        <v>-2363369.91</v>
      </c>
      <c r="F70" s="37">
        <f t="shared" si="57"/>
        <v>-2363369.91</v>
      </c>
      <c r="G70" s="37">
        <f t="shared" si="57"/>
        <v>-2363369.91</v>
      </c>
      <c r="H70" s="37">
        <f t="shared" si="57"/>
        <v>-2363369.91</v>
      </c>
      <c r="I70" s="37">
        <f t="shared" si="57"/>
        <v>-2363369.91</v>
      </c>
      <c r="J70" s="37">
        <f t="shared" si="57"/>
        <v>-2363369.91</v>
      </c>
      <c r="K70" s="37">
        <f t="shared" si="57"/>
        <v>-2363369.91</v>
      </c>
      <c r="L70" s="37">
        <f t="shared" si="57"/>
        <v>-2363369.91</v>
      </c>
      <c r="M70" s="37">
        <f t="shared" si="57"/>
        <v>-2363369.91</v>
      </c>
      <c r="N70" s="37">
        <f t="shared" si="57"/>
        <v>-2363369.91</v>
      </c>
      <c r="O70" s="37">
        <f t="shared" si="57"/>
        <v>-2363369.91</v>
      </c>
      <c r="P70" s="121" t="s">
        <v>29</v>
      </c>
      <c r="Q70" s="119">
        <f>IFERROR(VLOOKUP(P70,'P12 (Allocation Factors)'!$D:$F,3,0),0)</f>
        <v>0</v>
      </c>
      <c r="R70" s="41">
        <f t="shared" si="51"/>
        <v>0</v>
      </c>
      <c r="S70" s="41">
        <f t="shared" si="51"/>
        <v>0</v>
      </c>
      <c r="T70" s="41">
        <f t="shared" si="51"/>
        <v>0</v>
      </c>
      <c r="U70" s="41">
        <f t="shared" si="51"/>
        <v>0</v>
      </c>
      <c r="V70" s="41">
        <f t="shared" si="51"/>
        <v>0</v>
      </c>
      <c r="W70" s="41">
        <f t="shared" si="51"/>
        <v>0</v>
      </c>
      <c r="X70" s="41">
        <f t="shared" si="51"/>
        <v>0</v>
      </c>
      <c r="Y70" s="41">
        <f t="shared" si="51"/>
        <v>0</v>
      </c>
      <c r="Z70" s="41">
        <f t="shared" si="51"/>
        <v>0</v>
      </c>
      <c r="AA70" s="41">
        <f t="shared" si="51"/>
        <v>0</v>
      </c>
      <c r="AB70" s="41">
        <f t="shared" si="51"/>
        <v>0</v>
      </c>
      <c r="AC70" s="41">
        <f t="shared" si="51"/>
        <v>0</v>
      </c>
      <c r="AD70" s="41">
        <f t="shared" si="51"/>
        <v>0</v>
      </c>
      <c r="AE70" s="31" t="s">
        <v>786</v>
      </c>
      <c r="AF70" s="46" t="s">
        <v>767</v>
      </c>
    </row>
    <row r="71" spans="1:32" x14ac:dyDescent="0.25">
      <c r="A71" s="31" t="s">
        <v>781</v>
      </c>
      <c r="B71" s="46" t="s">
        <v>490</v>
      </c>
      <c r="C71" s="37">
        <f>'A8 (ADIT Balances)'!O71</f>
        <v>-3472230</v>
      </c>
      <c r="D71" s="37">
        <f t="shared" ref="D71:O71" si="58">C71</f>
        <v>-3472230</v>
      </c>
      <c r="E71" s="37">
        <f t="shared" si="58"/>
        <v>-3472230</v>
      </c>
      <c r="F71" s="37">
        <f t="shared" si="58"/>
        <v>-3472230</v>
      </c>
      <c r="G71" s="37">
        <f t="shared" si="58"/>
        <v>-3472230</v>
      </c>
      <c r="H71" s="37">
        <f t="shared" si="58"/>
        <v>-3472230</v>
      </c>
      <c r="I71" s="37">
        <f t="shared" si="58"/>
        <v>-3472230</v>
      </c>
      <c r="J71" s="37">
        <f t="shared" si="58"/>
        <v>-3472230</v>
      </c>
      <c r="K71" s="37">
        <f t="shared" si="58"/>
        <v>-3472230</v>
      </c>
      <c r="L71" s="37">
        <f t="shared" si="58"/>
        <v>-3472230</v>
      </c>
      <c r="M71" s="37">
        <f t="shared" si="58"/>
        <v>-3472230</v>
      </c>
      <c r="N71" s="37">
        <f t="shared" si="58"/>
        <v>-3472230</v>
      </c>
      <c r="O71" s="37">
        <f t="shared" si="58"/>
        <v>-3472230</v>
      </c>
      <c r="P71" s="115" t="s">
        <v>29</v>
      </c>
      <c r="Q71" s="119">
        <f>IFERROR(VLOOKUP(P71,'P12 (Allocation Factors)'!$D:$F,3,0),0)</f>
        <v>0</v>
      </c>
      <c r="R71" s="41">
        <f t="shared" si="51"/>
        <v>0</v>
      </c>
      <c r="S71" s="41">
        <f t="shared" si="51"/>
        <v>0</v>
      </c>
      <c r="T71" s="41">
        <f t="shared" si="51"/>
        <v>0</v>
      </c>
      <c r="U71" s="41">
        <f t="shared" si="51"/>
        <v>0</v>
      </c>
      <c r="V71" s="41">
        <f t="shared" si="51"/>
        <v>0</v>
      </c>
      <c r="W71" s="41">
        <f t="shared" si="51"/>
        <v>0</v>
      </c>
      <c r="X71" s="41">
        <f t="shared" si="51"/>
        <v>0</v>
      </c>
      <c r="Y71" s="41">
        <f t="shared" si="51"/>
        <v>0</v>
      </c>
      <c r="Z71" s="41">
        <f t="shared" si="51"/>
        <v>0</v>
      </c>
      <c r="AA71" s="41">
        <f t="shared" si="51"/>
        <v>0</v>
      </c>
      <c r="AB71" s="41">
        <f t="shared" si="51"/>
        <v>0</v>
      </c>
      <c r="AC71" s="41">
        <f t="shared" si="51"/>
        <v>0</v>
      </c>
      <c r="AD71" s="41">
        <f t="shared" si="51"/>
        <v>0</v>
      </c>
      <c r="AE71" s="31" t="s">
        <v>786</v>
      </c>
      <c r="AF71" s="46" t="s">
        <v>768</v>
      </c>
    </row>
    <row r="72" spans="1:32" x14ac:dyDescent="0.25">
      <c r="A72" s="31" t="s">
        <v>782</v>
      </c>
      <c r="B72" s="46" t="s">
        <v>518</v>
      </c>
      <c r="C72" s="37">
        <f>'A8 (ADIT Balances)'!O72</f>
        <v>-3374957.84</v>
      </c>
      <c r="D72" s="37">
        <f t="shared" ref="D72:O72" si="59">C72</f>
        <v>-3374957.84</v>
      </c>
      <c r="E72" s="37">
        <f t="shared" si="59"/>
        <v>-3374957.84</v>
      </c>
      <c r="F72" s="37">
        <f t="shared" si="59"/>
        <v>-3374957.84</v>
      </c>
      <c r="G72" s="37">
        <f t="shared" si="59"/>
        <v>-3374957.84</v>
      </c>
      <c r="H72" s="37">
        <f t="shared" si="59"/>
        <v>-3374957.84</v>
      </c>
      <c r="I72" s="37">
        <f t="shared" si="59"/>
        <v>-3374957.84</v>
      </c>
      <c r="J72" s="37">
        <f t="shared" si="59"/>
        <v>-3374957.84</v>
      </c>
      <c r="K72" s="37">
        <f t="shared" si="59"/>
        <v>-3374957.84</v>
      </c>
      <c r="L72" s="37">
        <f t="shared" si="59"/>
        <v>-3374957.84</v>
      </c>
      <c r="M72" s="37">
        <f t="shared" si="59"/>
        <v>-3374957.84</v>
      </c>
      <c r="N72" s="37">
        <f t="shared" si="59"/>
        <v>-3374957.84</v>
      </c>
      <c r="O72" s="37">
        <f t="shared" si="59"/>
        <v>-3374957.84</v>
      </c>
      <c r="P72" s="115" t="s">
        <v>29</v>
      </c>
      <c r="Q72" s="119">
        <f>IFERROR(VLOOKUP(P72,'P12 (Allocation Factors)'!$D:$F,3,0),0)</f>
        <v>0</v>
      </c>
      <c r="R72" s="41">
        <f t="shared" si="51"/>
        <v>0</v>
      </c>
      <c r="S72" s="41">
        <f t="shared" si="51"/>
        <v>0</v>
      </c>
      <c r="T72" s="41">
        <f t="shared" si="51"/>
        <v>0</v>
      </c>
      <c r="U72" s="41">
        <f t="shared" si="51"/>
        <v>0</v>
      </c>
      <c r="V72" s="41">
        <f t="shared" si="51"/>
        <v>0</v>
      </c>
      <c r="W72" s="41">
        <f t="shared" si="51"/>
        <v>0</v>
      </c>
      <c r="X72" s="41">
        <f t="shared" si="51"/>
        <v>0</v>
      </c>
      <c r="Y72" s="41">
        <f t="shared" si="51"/>
        <v>0</v>
      </c>
      <c r="Z72" s="41">
        <f t="shared" si="51"/>
        <v>0</v>
      </c>
      <c r="AA72" s="41">
        <f t="shared" si="51"/>
        <v>0</v>
      </c>
      <c r="AB72" s="41">
        <f t="shared" si="51"/>
        <v>0</v>
      </c>
      <c r="AC72" s="41">
        <f t="shared" si="51"/>
        <v>0</v>
      </c>
      <c r="AD72" s="41">
        <f t="shared" si="51"/>
        <v>0</v>
      </c>
      <c r="AE72" s="31" t="s">
        <v>786</v>
      </c>
      <c r="AF72" s="46" t="s">
        <v>768</v>
      </c>
    </row>
    <row r="73" spans="1:32" x14ac:dyDescent="0.25">
      <c r="A73" s="31" t="s">
        <v>783</v>
      </c>
      <c r="B73" s="46" t="s">
        <v>62</v>
      </c>
      <c r="C73" s="37">
        <f>'A8 (ADIT Balances)'!O73</f>
        <v>-2654620.6800000002</v>
      </c>
      <c r="D73" s="37">
        <f t="shared" ref="D73:O73" si="60">C73</f>
        <v>-2654620.6800000002</v>
      </c>
      <c r="E73" s="37">
        <f t="shared" si="60"/>
        <v>-2654620.6800000002</v>
      </c>
      <c r="F73" s="37">
        <f t="shared" si="60"/>
        <v>-2654620.6800000002</v>
      </c>
      <c r="G73" s="37">
        <f t="shared" si="60"/>
        <v>-2654620.6800000002</v>
      </c>
      <c r="H73" s="37">
        <f t="shared" si="60"/>
        <v>-2654620.6800000002</v>
      </c>
      <c r="I73" s="37">
        <f t="shared" si="60"/>
        <v>-2654620.6800000002</v>
      </c>
      <c r="J73" s="37">
        <f t="shared" si="60"/>
        <v>-2654620.6800000002</v>
      </c>
      <c r="K73" s="37">
        <f t="shared" si="60"/>
        <v>-2654620.6800000002</v>
      </c>
      <c r="L73" s="37">
        <f t="shared" si="60"/>
        <v>-2654620.6800000002</v>
      </c>
      <c r="M73" s="37">
        <f t="shared" si="60"/>
        <v>-2654620.6800000002</v>
      </c>
      <c r="N73" s="37">
        <f t="shared" si="60"/>
        <v>-2654620.6800000002</v>
      </c>
      <c r="O73" s="37">
        <f t="shared" si="60"/>
        <v>-2654620.6800000002</v>
      </c>
      <c r="P73" s="115" t="s">
        <v>29</v>
      </c>
      <c r="Q73" s="119">
        <f>IFERROR(VLOOKUP(P73,'P12 (Allocation Factors)'!$D:$F,3,0),0)</f>
        <v>0</v>
      </c>
      <c r="R73" s="41">
        <f t="shared" si="51"/>
        <v>0</v>
      </c>
      <c r="S73" s="41">
        <f t="shared" si="51"/>
        <v>0</v>
      </c>
      <c r="T73" s="41">
        <f t="shared" si="51"/>
        <v>0</v>
      </c>
      <c r="U73" s="41">
        <f t="shared" si="51"/>
        <v>0</v>
      </c>
      <c r="V73" s="41">
        <f t="shared" si="51"/>
        <v>0</v>
      </c>
      <c r="W73" s="41">
        <f t="shared" si="51"/>
        <v>0</v>
      </c>
      <c r="X73" s="41">
        <f t="shared" si="51"/>
        <v>0</v>
      </c>
      <c r="Y73" s="41">
        <f t="shared" si="51"/>
        <v>0</v>
      </c>
      <c r="Z73" s="41">
        <f t="shared" si="51"/>
        <v>0</v>
      </c>
      <c r="AA73" s="41">
        <f t="shared" si="51"/>
        <v>0</v>
      </c>
      <c r="AB73" s="41">
        <f t="shared" si="51"/>
        <v>0</v>
      </c>
      <c r="AC73" s="41">
        <f t="shared" si="51"/>
        <v>0</v>
      </c>
      <c r="AD73" s="41">
        <f t="shared" si="51"/>
        <v>0</v>
      </c>
      <c r="AE73" s="31" t="s">
        <v>786</v>
      </c>
      <c r="AF73" s="46" t="s">
        <v>898</v>
      </c>
    </row>
    <row r="74" spans="1:32" x14ac:dyDescent="0.25">
      <c r="A74" s="31" t="s">
        <v>784</v>
      </c>
      <c r="B74" s="46" t="s">
        <v>500</v>
      </c>
      <c r="C74" s="37">
        <f>'A8 (ADIT Balances)'!O74</f>
        <v>1257400.18</v>
      </c>
      <c r="D74" s="37">
        <f t="shared" ref="D74:O74" si="61">C74</f>
        <v>1257400.18</v>
      </c>
      <c r="E74" s="37">
        <f t="shared" si="61"/>
        <v>1257400.18</v>
      </c>
      <c r="F74" s="37">
        <f t="shared" si="61"/>
        <v>1257400.18</v>
      </c>
      <c r="G74" s="37">
        <f t="shared" si="61"/>
        <v>1257400.18</v>
      </c>
      <c r="H74" s="37">
        <f t="shared" si="61"/>
        <v>1257400.18</v>
      </c>
      <c r="I74" s="37">
        <f t="shared" si="61"/>
        <v>1257400.18</v>
      </c>
      <c r="J74" s="37">
        <f t="shared" si="61"/>
        <v>1257400.18</v>
      </c>
      <c r="K74" s="37">
        <f t="shared" si="61"/>
        <v>1257400.18</v>
      </c>
      <c r="L74" s="37">
        <f t="shared" si="61"/>
        <v>1257400.18</v>
      </c>
      <c r="M74" s="37">
        <f t="shared" si="61"/>
        <v>1257400.18</v>
      </c>
      <c r="N74" s="37">
        <f t="shared" si="61"/>
        <v>1257400.18</v>
      </c>
      <c r="O74" s="37">
        <f t="shared" si="61"/>
        <v>1257400.18</v>
      </c>
      <c r="P74" s="115" t="s">
        <v>29</v>
      </c>
      <c r="Q74" s="119">
        <f>IFERROR(VLOOKUP(P74,'P12 (Allocation Factors)'!$D:$F,3,0),0)</f>
        <v>0</v>
      </c>
      <c r="R74" s="41">
        <f t="shared" si="51"/>
        <v>0</v>
      </c>
      <c r="S74" s="41">
        <f t="shared" si="51"/>
        <v>0</v>
      </c>
      <c r="T74" s="41">
        <f t="shared" si="51"/>
        <v>0</v>
      </c>
      <c r="U74" s="41">
        <f t="shared" si="51"/>
        <v>0</v>
      </c>
      <c r="V74" s="41">
        <f t="shared" si="51"/>
        <v>0</v>
      </c>
      <c r="W74" s="41">
        <f t="shared" si="51"/>
        <v>0</v>
      </c>
      <c r="X74" s="41">
        <f t="shared" si="51"/>
        <v>0</v>
      </c>
      <c r="Y74" s="41">
        <f t="shared" si="51"/>
        <v>0</v>
      </c>
      <c r="Z74" s="41">
        <f t="shared" si="51"/>
        <v>0</v>
      </c>
      <c r="AA74" s="41">
        <f t="shared" si="51"/>
        <v>0</v>
      </c>
      <c r="AB74" s="41">
        <f t="shared" si="51"/>
        <v>0</v>
      </c>
      <c r="AC74" s="41">
        <f t="shared" si="51"/>
        <v>0</v>
      </c>
      <c r="AD74" s="41">
        <f t="shared" si="51"/>
        <v>0</v>
      </c>
      <c r="AE74" s="31" t="s">
        <v>786</v>
      </c>
      <c r="AF74" s="46" t="s">
        <v>898</v>
      </c>
    </row>
    <row r="75" spans="1:32" x14ac:dyDescent="0.25">
      <c r="A75" s="31" t="s">
        <v>357</v>
      </c>
      <c r="B75" s="46" t="s">
        <v>357</v>
      </c>
      <c r="C75" s="37"/>
      <c r="D75" s="37"/>
      <c r="E75" s="37"/>
      <c r="F75" s="37"/>
      <c r="G75" s="37"/>
      <c r="H75" s="37"/>
      <c r="I75" s="37"/>
      <c r="J75" s="37"/>
      <c r="K75" s="37"/>
      <c r="L75" s="37"/>
      <c r="M75" s="37"/>
      <c r="N75" s="37"/>
      <c r="O75" s="37"/>
      <c r="P75" s="115" t="s">
        <v>357</v>
      </c>
      <c r="Q75" s="119">
        <f>IFERROR(VLOOKUP(P75,'P12 (Allocation Factors)'!$D:$F,3,0),0)</f>
        <v>0</v>
      </c>
      <c r="R75" s="41">
        <f t="shared" si="51"/>
        <v>0</v>
      </c>
      <c r="S75" s="41">
        <f t="shared" si="51"/>
        <v>0</v>
      </c>
      <c r="T75" s="41">
        <f t="shared" si="51"/>
        <v>0</v>
      </c>
      <c r="U75" s="41">
        <f t="shared" si="51"/>
        <v>0</v>
      </c>
      <c r="V75" s="41">
        <f t="shared" si="51"/>
        <v>0</v>
      </c>
      <c r="W75" s="41">
        <f t="shared" si="51"/>
        <v>0</v>
      </c>
      <c r="X75" s="41">
        <f t="shared" si="51"/>
        <v>0</v>
      </c>
      <c r="Y75" s="41">
        <f t="shared" si="51"/>
        <v>0</v>
      </c>
      <c r="Z75" s="41">
        <f t="shared" si="51"/>
        <v>0</v>
      </c>
      <c r="AA75" s="41">
        <f t="shared" si="51"/>
        <v>0</v>
      </c>
      <c r="AB75" s="41">
        <f t="shared" si="51"/>
        <v>0</v>
      </c>
      <c r="AC75" s="41">
        <f t="shared" si="51"/>
        <v>0</v>
      </c>
      <c r="AD75" s="41">
        <f t="shared" si="51"/>
        <v>0</v>
      </c>
      <c r="AE75" s="31" t="s">
        <v>357</v>
      </c>
      <c r="AF75" s="46" t="s">
        <v>357</v>
      </c>
    </row>
    <row r="76" spans="1:32" x14ac:dyDescent="0.25">
      <c r="A76" s="101" t="s">
        <v>559</v>
      </c>
      <c r="B76" s="54" t="s">
        <v>357</v>
      </c>
      <c r="C76" s="55"/>
      <c r="D76" s="55"/>
      <c r="E76" s="55"/>
      <c r="F76" s="55"/>
      <c r="G76" s="55"/>
      <c r="H76" s="55"/>
      <c r="I76" s="55"/>
      <c r="J76" s="55"/>
      <c r="K76" s="55"/>
      <c r="L76" s="55"/>
      <c r="M76" s="55"/>
      <c r="N76" s="55"/>
      <c r="O76" s="55"/>
      <c r="P76" s="122" t="s">
        <v>357</v>
      </c>
      <c r="Q76" s="119">
        <f>IFERROR(VLOOKUP(P76,'P12 (Allocation Factors)'!$D:$F,3,0),0)</f>
        <v>0</v>
      </c>
      <c r="R76" s="41">
        <f t="shared" si="51"/>
        <v>0</v>
      </c>
      <c r="S76" s="41">
        <f t="shared" si="51"/>
        <v>0</v>
      </c>
      <c r="T76" s="41">
        <f t="shared" si="51"/>
        <v>0</v>
      </c>
      <c r="U76" s="41">
        <f t="shared" si="51"/>
        <v>0</v>
      </c>
      <c r="V76" s="41">
        <f t="shared" si="51"/>
        <v>0</v>
      </c>
      <c r="W76" s="41">
        <f t="shared" si="51"/>
        <v>0</v>
      </c>
      <c r="X76" s="41">
        <f t="shared" si="51"/>
        <v>0</v>
      </c>
      <c r="Y76" s="41">
        <f t="shared" si="51"/>
        <v>0</v>
      </c>
      <c r="Z76" s="41">
        <f t="shared" si="51"/>
        <v>0</v>
      </c>
      <c r="AA76" s="41">
        <f t="shared" si="51"/>
        <v>0</v>
      </c>
      <c r="AB76" s="41">
        <f t="shared" si="51"/>
        <v>0</v>
      </c>
      <c r="AC76" s="41">
        <f t="shared" si="51"/>
        <v>0</v>
      </c>
      <c r="AD76" s="41">
        <f t="shared" si="51"/>
        <v>0</v>
      </c>
      <c r="AE76" s="31" t="s">
        <v>357</v>
      </c>
      <c r="AF76" s="53" t="s">
        <v>357</v>
      </c>
    </row>
    <row r="77" spans="1:32" s="6" customFormat="1" x14ac:dyDescent="0.25">
      <c r="A77" s="88">
        <v>10</v>
      </c>
      <c r="B77" s="89" t="str">
        <f>"Total Account No. 283 (Sum Lns. "&amp;A64&amp;" through "&amp;A76&amp;")"</f>
        <v>Total Account No. 283 (Sum Lns. 9a through 9zz)</v>
      </c>
      <c r="C77" s="90">
        <f>SUM(C64:C76)</f>
        <v>-42801747.5</v>
      </c>
      <c r="D77" s="90">
        <f t="shared" ref="D77:O77" si="62">SUM(D64:D76)</f>
        <v>-42801747.5</v>
      </c>
      <c r="E77" s="90">
        <f t="shared" si="62"/>
        <v>-42801747.5</v>
      </c>
      <c r="F77" s="90">
        <f t="shared" si="62"/>
        <v>-42801747.5</v>
      </c>
      <c r="G77" s="90">
        <f t="shared" si="62"/>
        <v>-42801747.5</v>
      </c>
      <c r="H77" s="90">
        <f t="shared" si="62"/>
        <v>-42801747.5</v>
      </c>
      <c r="I77" s="90">
        <f t="shared" si="62"/>
        <v>-42801747.5</v>
      </c>
      <c r="J77" s="90">
        <f t="shared" si="62"/>
        <v>-42801747.5</v>
      </c>
      <c r="K77" s="90">
        <f t="shared" si="62"/>
        <v>-42801747.5</v>
      </c>
      <c r="L77" s="90">
        <f t="shared" si="62"/>
        <v>-42801747.5</v>
      </c>
      <c r="M77" s="90">
        <f t="shared" si="62"/>
        <v>-42801747.5</v>
      </c>
      <c r="N77" s="90">
        <f t="shared" si="62"/>
        <v>-42801747.5</v>
      </c>
      <c r="O77" s="90">
        <f t="shared" si="62"/>
        <v>-42801747.5</v>
      </c>
      <c r="P77" s="90"/>
      <c r="Q77" s="90"/>
      <c r="R77" s="90">
        <f t="shared" ref="R77:AD77" si="63">SUM(R64:R76)</f>
        <v>-394072.09207513405</v>
      </c>
      <c r="S77" s="90">
        <f t="shared" si="63"/>
        <v>-394072.09207513405</v>
      </c>
      <c r="T77" s="90">
        <f t="shared" si="63"/>
        <v>-394072.09207513405</v>
      </c>
      <c r="U77" s="90">
        <f t="shared" si="63"/>
        <v>-394072.09207513405</v>
      </c>
      <c r="V77" s="90">
        <f t="shared" si="63"/>
        <v>-394072.09207513405</v>
      </c>
      <c r="W77" s="90">
        <f t="shared" si="63"/>
        <v>-394072.09207513405</v>
      </c>
      <c r="X77" s="90">
        <f t="shared" si="63"/>
        <v>-394072.09207513405</v>
      </c>
      <c r="Y77" s="90">
        <f t="shared" si="63"/>
        <v>-394072.09207513405</v>
      </c>
      <c r="Z77" s="90">
        <f t="shared" si="63"/>
        <v>-394072.09207513405</v>
      </c>
      <c r="AA77" s="90">
        <f t="shared" si="63"/>
        <v>-394072.09207513405</v>
      </c>
      <c r="AB77" s="90">
        <f t="shared" si="63"/>
        <v>-394072.09207513405</v>
      </c>
      <c r="AC77" s="90">
        <f t="shared" si="63"/>
        <v>-394072.09207513405</v>
      </c>
      <c r="AD77" s="90">
        <f t="shared" si="63"/>
        <v>-394072.09207513405</v>
      </c>
      <c r="AE77" s="90"/>
      <c r="AF77" s="90"/>
    </row>
    <row r="78" spans="1:32" x14ac:dyDescent="0.25">
      <c r="B78" s="6"/>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row>
    <row r="79" spans="1:32" s="127" customFormat="1" x14ac:dyDescent="0.25">
      <c r="A79" s="126">
        <f>A77+1</f>
        <v>11</v>
      </c>
      <c r="B79" s="127" t="s">
        <v>1154</v>
      </c>
      <c r="C79" s="128">
        <f>SUMIF($AE$64:$AE$76,"Yes",C$64:C$76)</f>
        <v>-2942223.84</v>
      </c>
      <c r="D79" s="128">
        <f t="shared" ref="D79:O79" si="64">SUMIF($AE$64:$AE$76,"Yes",D$64:D$76)</f>
        <v>-2942223.84</v>
      </c>
      <c r="E79" s="128">
        <f t="shared" si="64"/>
        <v>-2942223.84</v>
      </c>
      <c r="F79" s="128">
        <f t="shared" si="64"/>
        <v>-2942223.84</v>
      </c>
      <c r="G79" s="128">
        <f t="shared" si="64"/>
        <v>-2942223.84</v>
      </c>
      <c r="H79" s="128">
        <f t="shared" si="64"/>
        <v>-2942223.84</v>
      </c>
      <c r="I79" s="128">
        <f t="shared" si="64"/>
        <v>-2942223.84</v>
      </c>
      <c r="J79" s="128">
        <f t="shared" si="64"/>
        <v>-2942223.84</v>
      </c>
      <c r="K79" s="128">
        <f t="shared" si="64"/>
        <v>-2942223.84</v>
      </c>
      <c r="L79" s="128">
        <f t="shared" si="64"/>
        <v>-2942223.84</v>
      </c>
      <c r="M79" s="128">
        <f t="shared" si="64"/>
        <v>-2942223.84</v>
      </c>
      <c r="N79" s="128">
        <f t="shared" si="64"/>
        <v>-2942223.84</v>
      </c>
      <c r="O79" s="128">
        <f t="shared" si="64"/>
        <v>-2942223.84</v>
      </c>
      <c r="P79" s="128"/>
      <c r="Q79" s="128"/>
      <c r="R79" s="128">
        <f>SUMIF($AE$64:$AE$76,"Yes",R$64:R$76)</f>
        <v>-394072.09207513405</v>
      </c>
      <c r="S79" s="128">
        <f t="shared" ref="S79:AD79" si="65">SUMIF($AE$64:$AE$76,"Yes",S$64:S$76)</f>
        <v>-394072.09207513405</v>
      </c>
      <c r="T79" s="128">
        <f t="shared" si="65"/>
        <v>-394072.09207513405</v>
      </c>
      <c r="U79" s="128">
        <f t="shared" si="65"/>
        <v>-394072.09207513405</v>
      </c>
      <c r="V79" s="128">
        <f t="shared" si="65"/>
        <v>-394072.09207513405</v>
      </c>
      <c r="W79" s="128">
        <f t="shared" si="65"/>
        <v>-394072.09207513405</v>
      </c>
      <c r="X79" s="128">
        <f t="shared" si="65"/>
        <v>-394072.09207513405</v>
      </c>
      <c r="Y79" s="128">
        <f t="shared" si="65"/>
        <v>-394072.09207513405</v>
      </c>
      <c r="Z79" s="128">
        <f t="shared" si="65"/>
        <v>-394072.09207513405</v>
      </c>
      <c r="AA79" s="128">
        <f t="shared" si="65"/>
        <v>-394072.09207513405</v>
      </c>
      <c r="AB79" s="128">
        <f t="shared" si="65"/>
        <v>-394072.09207513405</v>
      </c>
      <c r="AC79" s="128">
        <f t="shared" si="65"/>
        <v>-394072.09207513405</v>
      </c>
      <c r="AD79" s="128">
        <f t="shared" si="65"/>
        <v>-394072.09207513405</v>
      </c>
      <c r="AE79" s="128"/>
      <c r="AF79" s="128"/>
    </row>
    <row r="80" spans="1:32" s="127" customFormat="1" hidden="1" x14ac:dyDescent="0.25">
      <c r="A80" s="126"/>
      <c r="C80" s="128"/>
      <c r="D80" s="128"/>
      <c r="E80" s="128"/>
      <c r="F80" s="128"/>
      <c r="G80" s="128"/>
      <c r="H80" s="128"/>
      <c r="I80" s="128"/>
      <c r="J80" s="128"/>
      <c r="K80" s="128"/>
      <c r="L80" s="128"/>
      <c r="M80" s="128"/>
      <c r="N80" s="128"/>
      <c r="O80" s="128"/>
      <c r="P80" s="128"/>
      <c r="Q80" s="128"/>
      <c r="R80" s="128"/>
      <c r="S80" s="128">
        <f>S79-R79</f>
        <v>0</v>
      </c>
      <c r="T80" s="128">
        <f t="shared" ref="T80:AD80" si="66">T79-S79</f>
        <v>0</v>
      </c>
      <c r="U80" s="128">
        <f t="shared" si="66"/>
        <v>0</v>
      </c>
      <c r="V80" s="128">
        <f t="shared" si="66"/>
        <v>0</v>
      </c>
      <c r="W80" s="128">
        <f t="shared" si="66"/>
        <v>0</v>
      </c>
      <c r="X80" s="128">
        <f t="shared" si="66"/>
        <v>0</v>
      </c>
      <c r="Y80" s="128">
        <f t="shared" si="66"/>
        <v>0</v>
      </c>
      <c r="Z80" s="128">
        <f t="shared" si="66"/>
        <v>0</v>
      </c>
      <c r="AA80" s="128">
        <f t="shared" si="66"/>
        <v>0</v>
      </c>
      <c r="AB80" s="128">
        <f t="shared" si="66"/>
        <v>0</v>
      </c>
      <c r="AC80" s="128">
        <f t="shared" si="66"/>
        <v>0</v>
      </c>
      <c r="AD80" s="128">
        <f t="shared" si="66"/>
        <v>0</v>
      </c>
      <c r="AE80" s="128"/>
      <c r="AF80" s="128"/>
    </row>
    <row r="81" spans="1:32" s="127" customFormat="1" x14ac:dyDescent="0.25">
      <c r="A81" s="126">
        <f>A79+1</f>
        <v>12</v>
      </c>
      <c r="B81" s="127" t="s">
        <v>801</v>
      </c>
      <c r="C81" s="128">
        <f>SUMIF($AE$64:$AE$76,"No",C$64:C$76)</f>
        <v>-39859523.659999996</v>
      </c>
      <c r="D81" s="128">
        <f t="shared" ref="D81:O81" si="67">SUMIF($AE$64:$AE$76,"No",D$64:D$76)</f>
        <v>-39859523.659999996</v>
      </c>
      <c r="E81" s="128">
        <f t="shared" si="67"/>
        <v>-39859523.659999996</v>
      </c>
      <c r="F81" s="128">
        <f t="shared" si="67"/>
        <v>-39859523.659999996</v>
      </c>
      <c r="G81" s="128">
        <f t="shared" si="67"/>
        <v>-39859523.659999996</v>
      </c>
      <c r="H81" s="128">
        <f t="shared" si="67"/>
        <v>-39859523.659999996</v>
      </c>
      <c r="I81" s="128">
        <f t="shared" si="67"/>
        <v>-39859523.659999996</v>
      </c>
      <c r="J81" s="128">
        <f t="shared" si="67"/>
        <v>-39859523.659999996</v>
      </c>
      <c r="K81" s="128">
        <f t="shared" si="67"/>
        <v>-39859523.659999996</v>
      </c>
      <c r="L81" s="128">
        <f t="shared" si="67"/>
        <v>-39859523.659999996</v>
      </c>
      <c r="M81" s="128">
        <f t="shared" si="67"/>
        <v>-39859523.659999996</v>
      </c>
      <c r="N81" s="128">
        <f t="shared" si="67"/>
        <v>-39859523.659999996</v>
      </c>
      <c r="O81" s="128">
        <f t="shared" si="67"/>
        <v>-39859523.659999996</v>
      </c>
      <c r="P81" s="128"/>
      <c r="Q81" s="128"/>
      <c r="R81" s="128">
        <f>SUMIF($AE$64:$AE$76,"No",R$64:R$76)</f>
        <v>0</v>
      </c>
      <c r="S81" s="128">
        <f t="shared" ref="S81:AD81" si="68">SUMIF($AE$64:$AE$76,"No",S$64:S$76)</f>
        <v>0</v>
      </c>
      <c r="T81" s="128">
        <f t="shared" si="68"/>
        <v>0</v>
      </c>
      <c r="U81" s="128">
        <f t="shared" si="68"/>
        <v>0</v>
      </c>
      <c r="V81" s="128">
        <f t="shared" si="68"/>
        <v>0</v>
      </c>
      <c r="W81" s="128">
        <f t="shared" si="68"/>
        <v>0</v>
      </c>
      <c r="X81" s="128">
        <f t="shared" si="68"/>
        <v>0</v>
      </c>
      <c r="Y81" s="128">
        <f t="shared" si="68"/>
        <v>0</v>
      </c>
      <c r="Z81" s="128">
        <f t="shared" si="68"/>
        <v>0</v>
      </c>
      <c r="AA81" s="128">
        <f t="shared" si="68"/>
        <v>0</v>
      </c>
      <c r="AB81" s="128">
        <f t="shared" si="68"/>
        <v>0</v>
      </c>
      <c r="AC81" s="128">
        <f t="shared" si="68"/>
        <v>0</v>
      </c>
      <c r="AD81" s="128">
        <f t="shared" si="68"/>
        <v>0</v>
      </c>
      <c r="AE81" s="128"/>
      <c r="AF81" s="128"/>
    </row>
    <row r="83" spans="1:32" s="6" customFormat="1" ht="16.5" thickBot="1" x14ac:dyDescent="0.3">
      <c r="A83" s="56">
        <f>A81+1</f>
        <v>13</v>
      </c>
      <c r="B83" s="57" t="str">
        <f>"Total ADIT (Lns. "&amp;A40&amp;" + "&amp;A57&amp;" + "&amp;A77&amp;")"</f>
        <v>Total ADIT (Lns. 2 + 6 + 10)</v>
      </c>
      <c r="C83" s="29">
        <f t="shared" ref="C83:O83" si="69">C40+C57+C77</f>
        <v>-363676828.94999999</v>
      </c>
      <c r="D83" s="29">
        <f t="shared" si="69"/>
        <v>-363676828.94999999</v>
      </c>
      <c r="E83" s="29">
        <f t="shared" si="69"/>
        <v>-363676828.94999999</v>
      </c>
      <c r="F83" s="29">
        <f t="shared" si="69"/>
        <v>-363676828.94999999</v>
      </c>
      <c r="G83" s="29">
        <f t="shared" si="69"/>
        <v>-363676828.94999999</v>
      </c>
      <c r="H83" s="29">
        <f t="shared" si="69"/>
        <v>-363676828.94999999</v>
      </c>
      <c r="I83" s="29">
        <f t="shared" si="69"/>
        <v>-363676828.94999999</v>
      </c>
      <c r="J83" s="29">
        <f t="shared" si="69"/>
        <v>-363676828.94999999</v>
      </c>
      <c r="K83" s="29">
        <f t="shared" si="69"/>
        <v>-363676828.94999999</v>
      </c>
      <c r="L83" s="29">
        <f t="shared" si="69"/>
        <v>-363676828.94999999</v>
      </c>
      <c r="M83" s="29">
        <f t="shared" si="69"/>
        <v>-363676828.94999999</v>
      </c>
      <c r="N83" s="29">
        <f t="shared" si="69"/>
        <v>-363676828.94999999</v>
      </c>
      <c r="O83" s="29">
        <f t="shared" si="69"/>
        <v>-363676828.94999999</v>
      </c>
      <c r="P83" s="29"/>
      <c r="Q83" s="29"/>
      <c r="R83" s="29">
        <f>R40+R57+R77</f>
        <v>-54219025.120207004</v>
      </c>
      <c r="S83" s="29">
        <f t="shared" ref="S83:AC83" si="70">S40+S57+S77</f>
        <v>-54219025.120207004</v>
      </c>
      <c r="T83" s="29">
        <f t="shared" si="70"/>
        <v>-54219025.120207004</v>
      </c>
      <c r="U83" s="29">
        <f t="shared" si="70"/>
        <v>-54219025.120207004</v>
      </c>
      <c r="V83" s="29">
        <f t="shared" si="70"/>
        <v>-54219025.120207004</v>
      </c>
      <c r="W83" s="29">
        <f t="shared" si="70"/>
        <v>-54219025.120207004</v>
      </c>
      <c r="X83" s="29">
        <f t="shared" si="70"/>
        <v>-54219025.120207004</v>
      </c>
      <c r="Y83" s="29">
        <f t="shared" si="70"/>
        <v>-54219025.120207004</v>
      </c>
      <c r="Z83" s="29">
        <f t="shared" si="70"/>
        <v>-54219025.120207004</v>
      </c>
      <c r="AA83" s="29">
        <f t="shared" si="70"/>
        <v>-54219025.120207004</v>
      </c>
      <c r="AB83" s="29">
        <f t="shared" si="70"/>
        <v>-54219025.120207004</v>
      </c>
      <c r="AC83" s="29">
        <f t="shared" si="70"/>
        <v>-54219025.120207004</v>
      </c>
      <c r="AD83" s="29">
        <f>AD40+AD57+AD77</f>
        <v>-54219025.120207004</v>
      </c>
      <c r="AE83" s="29"/>
      <c r="AF83" s="29"/>
    </row>
    <row r="84" spans="1:32" ht="5.25" customHeight="1" thickTop="1" x14ac:dyDescent="0.25">
      <c r="A84" s="14"/>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row>
    <row r="85" spans="1:32" ht="5.25" customHeight="1" x14ac:dyDescent="0.25"/>
    <row r="86" spans="1:32" x14ac:dyDescent="0.25">
      <c r="A86" s="22" t="str">
        <f>note</f>
        <v>Notes and Sources:</v>
      </c>
    </row>
    <row r="87" spans="1:32" ht="65.25" customHeight="1" x14ac:dyDescent="0.25">
      <c r="A87" s="85">
        <v>1</v>
      </c>
      <c r="B87" s="87" t="str">
        <f>"Unless otherwise stated, source of shaded cells is company input/records. Lines "&amp;A13&amp;" through "&amp;A39&amp;", "&amp;A47&amp;" through "&amp;A56&amp;" and "&amp;A64&amp;" through "&amp;A76&amp;" represent adjustable lines that may be expanded/compressed on an annual basis to provide for a sufficient breakout of ADIT items."</f>
        <v>Unless otherwise stated, source of shaded cells is company input/records. Lines 1a through 1zz, 5a through 5zz and 9a through 9zz represent adjustable lines that may be expanded/compressed on an annual basis to provide for a sufficient breakout of ADIT items.</v>
      </c>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row>
    <row r="88" spans="1:32" ht="65.25" customHeight="1" x14ac:dyDescent="0.25">
      <c r="A88" s="85">
        <v>2</v>
      </c>
      <c r="B88" s="87" t="str">
        <f>"Enter 'Yes' or 'No.' Only plant-related ADIT balances are subject to prorationing. Values on lines "&amp;A42&amp;", "&amp;A44&amp;", "&amp;A59&amp;", "&amp;A61&amp;", "&amp;A79&amp;", and "&amp;A81&amp;" will populate automatically based on the inputs to column "&amp;AE9&amp;". Inputs only needed for ADIT items with non-zero allocations to network transmission rates."</f>
        <v>Enter 'Yes' or 'No.' Only plant-related ADIT balances are subject to prorationing. Values on lines 3, 4, 7, 8, 11, and 12 will populate automatically based on the inputs to column [dd]. Inputs only needed for ADIT items with non-zero allocations to network transmission rates.</v>
      </c>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row>
    <row r="89" spans="1:32" ht="63" x14ac:dyDescent="0.25">
      <c r="A89" s="85">
        <v>3</v>
      </c>
      <c r="B89" s="87" t="str">
        <f>"Only network allocator codes listed on "&amp;'P12 (Allocation Factors)'!F1&amp;" may be inputed. Only deferred taxes related to rate base, construction, or other costs and revenues affecting jurisdictional cost-of-service may be included as rate base reductions/additions."</f>
        <v>Only network allocator codes listed on Worksheet P12 may be inputed. Only deferred taxes related to rate base, construction, or other costs and revenues affecting jurisdictional cost-of-service may be included as rate base reductions/additions.</v>
      </c>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row>
    <row r="90" spans="1:32" ht="5.25" customHeight="1" thickBot="1" x14ac:dyDescent="0.3">
      <c r="A90" s="2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row>
    <row r="91" spans="1:32" ht="5.25" customHeight="1" thickTop="1" x14ac:dyDescent="0.25"/>
  </sheetData>
  <mergeCells count="7">
    <mergeCell ref="AF7:AF8"/>
    <mergeCell ref="A7:A9"/>
    <mergeCell ref="B7:B8"/>
    <mergeCell ref="C7:O7"/>
    <mergeCell ref="P7:Q7"/>
    <mergeCell ref="R7:AD7"/>
    <mergeCell ref="AE7:AE8"/>
  </mergeCells>
  <pageMargins left="0.7" right="0.7" top="0.75" bottom="0.75" header="0.3" footer="0.3"/>
  <pageSetup scale="32" fitToWidth="3" orientation="landscape" horizontalDpi="1200" verticalDpi="1200" r:id="rId1"/>
  <headerFooter>
    <oddFooter>&amp;L&amp;6{W0327924.2 }</oddFooter>
  </headerFooter>
  <colBreaks count="2" manualBreakCount="2">
    <brk id="15" max="1048575" man="1"/>
    <brk id="28"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J52"/>
  <sheetViews>
    <sheetView workbookViewId="0"/>
  </sheetViews>
  <sheetFormatPr defaultRowHeight="15.75" x14ac:dyDescent="0.25"/>
  <cols>
    <col min="1" max="1" width="5" style="1" customWidth="1"/>
    <col min="2" max="2" width="71" customWidth="1"/>
    <col min="3" max="16" width="14.125" customWidth="1"/>
    <col min="17" max="17" width="8.625" customWidth="1"/>
    <col min="19" max="32" width="14.125" customWidth="1"/>
    <col min="33" max="34" width="11.625" customWidth="1"/>
    <col min="35" max="35" width="30.25" customWidth="1"/>
    <col min="36" max="36" width="82.25" bestFit="1" customWidth="1"/>
    <col min="37" max="37" width="14.125" bestFit="1" customWidth="1"/>
  </cols>
  <sheetData>
    <row r="1" spans="1:36" x14ac:dyDescent="0.25">
      <c r="A1" s="6" t="str">
        <f>epe</f>
        <v>El Paso Electric Company</v>
      </c>
      <c r="I1" s="8" t="str">
        <f>$AJ$1</f>
        <v>Worksheet P6</v>
      </c>
      <c r="R1" s="8" t="str">
        <f>$AJ$1</f>
        <v>Worksheet P6</v>
      </c>
      <c r="X1" s="8"/>
      <c r="Y1" s="8" t="str">
        <f>$AJ$1</f>
        <v>Worksheet P6</v>
      </c>
      <c r="AF1" s="8" t="str">
        <f>$AJ$1</f>
        <v>Worksheet P6</v>
      </c>
      <c r="AJ1" s="8" t="s">
        <v>911</v>
      </c>
    </row>
    <row r="2" spans="1:36" x14ac:dyDescent="0.25">
      <c r="A2" t="str">
        <f>frtp</f>
        <v>Formula Rate Template (Projected)</v>
      </c>
      <c r="O2" s="10"/>
      <c r="P2" s="10"/>
    </row>
    <row r="3" spans="1:36" x14ac:dyDescent="0.25">
      <c r="A3" t="s">
        <v>803</v>
      </c>
      <c r="O3" s="10"/>
      <c r="P3" s="10"/>
    </row>
    <row r="4" spans="1:36" x14ac:dyDescent="0.25">
      <c r="A4" t="str">
        <f>"12 Months Ended December 31, "&amp;YEAR('A1 (FF1 Inputs)'!$E$12)+2</f>
        <v>12 Months Ended December 31, 2022</v>
      </c>
    </row>
    <row r="5" spans="1:36"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row>
    <row r="6" spans="1:36" ht="5.25" customHeight="1" thickTop="1" x14ac:dyDescent="0.25">
      <c r="A6"/>
    </row>
    <row r="7" spans="1:36" s="40" customFormat="1" ht="15.75" customHeight="1" x14ac:dyDescent="0.25">
      <c r="A7" s="266" t="str">
        <f>ln</f>
        <v>Line No.</v>
      </c>
      <c r="B7" s="278" t="s">
        <v>2</v>
      </c>
      <c r="C7" s="276" t="s">
        <v>1034</v>
      </c>
      <c r="D7" s="276"/>
      <c r="E7" s="276"/>
      <c r="F7" s="276"/>
      <c r="G7" s="276"/>
      <c r="H7" s="276"/>
      <c r="I7" s="276"/>
      <c r="J7" s="276"/>
      <c r="K7" s="276" t="s">
        <v>772</v>
      </c>
      <c r="L7" s="276"/>
      <c r="M7" s="276"/>
      <c r="N7" s="276"/>
      <c r="O7" s="276"/>
      <c r="P7" s="255" t="s">
        <v>804</v>
      </c>
      <c r="Q7" s="281" t="s">
        <v>393</v>
      </c>
      <c r="R7" s="281"/>
      <c r="S7" s="276" t="s">
        <v>773</v>
      </c>
      <c r="T7" s="276"/>
      <c r="U7" s="276"/>
      <c r="V7" s="276"/>
      <c r="W7" s="276"/>
      <c r="X7" s="276"/>
      <c r="Y7" s="276"/>
      <c r="Z7" s="276" t="s">
        <v>773</v>
      </c>
      <c r="AA7" s="276"/>
      <c r="AB7" s="276"/>
      <c r="AC7" s="276"/>
      <c r="AD7" s="276"/>
      <c r="AE7" s="276"/>
      <c r="AF7" s="277" t="s">
        <v>804</v>
      </c>
      <c r="AG7" s="280" t="s">
        <v>896</v>
      </c>
      <c r="AH7" s="277" t="s">
        <v>885</v>
      </c>
      <c r="AI7" s="277" t="s">
        <v>519</v>
      </c>
      <c r="AJ7" s="278" t="s">
        <v>680</v>
      </c>
    </row>
    <row r="8" spans="1:36" s="40" customFormat="1" x14ac:dyDescent="0.25">
      <c r="A8" s="266"/>
      <c r="B8" s="278"/>
      <c r="C8" s="3" t="str">
        <f>"Dec-"&amp;YEAR('A1 (FF1 Inputs)'!$E$12)+1</f>
        <v>Dec-2021</v>
      </c>
      <c r="D8" s="3" t="str">
        <f>"Jan-"&amp;YEAR('A1 (FF1 Inputs)'!$E$12)+2</f>
        <v>Jan-2022</v>
      </c>
      <c r="E8" s="3" t="str">
        <f>"Feb-"&amp;YEAR('A1 (FF1 Inputs)'!$E$12)+2</f>
        <v>Feb-2022</v>
      </c>
      <c r="F8" s="3" t="str">
        <f>"Mar-"&amp;YEAR('A1 (FF1 Inputs)'!$E$12)+2</f>
        <v>Mar-2022</v>
      </c>
      <c r="G8" s="3" t="str">
        <f>"Apr-"&amp;YEAR('A1 (FF1 Inputs)'!$E$12)+2</f>
        <v>Apr-2022</v>
      </c>
      <c r="H8" s="3" t="str">
        <f>"May-"&amp;YEAR('A1 (FF1 Inputs)'!$E$12)+2</f>
        <v>May-2022</v>
      </c>
      <c r="I8" s="3" t="str">
        <f>"Jun-"&amp;YEAR('A1 (FF1 Inputs)'!$E$12)+2</f>
        <v>Jun-2022</v>
      </c>
      <c r="J8" s="3" t="str">
        <f>"Jul-"&amp;YEAR('A1 (FF1 Inputs)'!$E$12)+2</f>
        <v>Jul-2022</v>
      </c>
      <c r="K8" s="3" t="str">
        <f>"Aug-"&amp;YEAR('A1 (FF1 Inputs)'!$E$12)+2</f>
        <v>Aug-2022</v>
      </c>
      <c r="L8" s="3" t="str">
        <f>"Sep-"&amp;YEAR('A1 (FF1 Inputs)'!$E$12)+2</f>
        <v>Sep-2022</v>
      </c>
      <c r="M8" s="3" t="str">
        <f>"Oct-"&amp;YEAR('A1 (FF1 Inputs)'!$E$12)+2</f>
        <v>Oct-2022</v>
      </c>
      <c r="N8" s="3" t="str">
        <f>"Nov-"&amp;YEAR('A1 (FF1 Inputs)'!$E$12)+2</f>
        <v>Nov-2022</v>
      </c>
      <c r="O8" s="3" t="str">
        <f>"Dec-"&amp;YEAR('A1 (FF1 Inputs)'!$E$12)+2</f>
        <v>Dec-2022</v>
      </c>
      <c r="P8" s="3"/>
      <c r="Q8" s="3" t="s">
        <v>5</v>
      </c>
      <c r="R8" s="3" t="s">
        <v>6</v>
      </c>
      <c r="S8" s="3" t="str">
        <f>"Dec-"&amp;YEAR('A1 (FF1 Inputs)'!$E$12)+1</f>
        <v>Dec-2021</v>
      </c>
      <c r="T8" s="3" t="str">
        <f>"Jan-"&amp;YEAR('A1 (FF1 Inputs)'!$E$12)+2</f>
        <v>Jan-2022</v>
      </c>
      <c r="U8" s="3" t="str">
        <f>"Feb-"&amp;YEAR('A1 (FF1 Inputs)'!$E$12)+2</f>
        <v>Feb-2022</v>
      </c>
      <c r="V8" s="3" t="str">
        <f>"Mar-"&amp;YEAR('A1 (FF1 Inputs)'!$E$12)+2</f>
        <v>Mar-2022</v>
      </c>
      <c r="W8" s="3" t="str">
        <f>"Apr-"&amp;YEAR('A1 (FF1 Inputs)'!$E$12)+2</f>
        <v>Apr-2022</v>
      </c>
      <c r="X8" s="3" t="str">
        <f>"May-"&amp;YEAR('A1 (FF1 Inputs)'!$E$12)+2</f>
        <v>May-2022</v>
      </c>
      <c r="Y8" s="3" t="str">
        <f>"Jun-"&amp;YEAR('A1 (FF1 Inputs)'!$E$12)+2</f>
        <v>Jun-2022</v>
      </c>
      <c r="Z8" s="3" t="str">
        <f>"Jul-"&amp;YEAR('A1 (FF1 Inputs)'!$E$12)+2</f>
        <v>Jul-2022</v>
      </c>
      <c r="AA8" s="3" t="str">
        <f>"Aug-"&amp;YEAR('A1 (FF1 Inputs)'!$E$12)+2</f>
        <v>Aug-2022</v>
      </c>
      <c r="AB8" s="3" t="str">
        <f>"Sep-"&amp;YEAR('A1 (FF1 Inputs)'!$E$12)+2</f>
        <v>Sep-2022</v>
      </c>
      <c r="AC8" s="3" t="str">
        <f>"Oct-"&amp;YEAR('A1 (FF1 Inputs)'!$E$12)+2</f>
        <v>Oct-2022</v>
      </c>
      <c r="AD8" s="3" t="str">
        <f>"Nov-"&amp;YEAR('A1 (FF1 Inputs)'!$E$12)+2</f>
        <v>Nov-2022</v>
      </c>
      <c r="AE8" s="3" t="str">
        <f>"Dec-"&amp;YEAR('A1 (FF1 Inputs)'!$E$12)+2</f>
        <v>Dec-2022</v>
      </c>
      <c r="AF8" s="277"/>
      <c r="AG8" s="280"/>
      <c r="AH8" s="277"/>
      <c r="AI8" s="277"/>
      <c r="AJ8" s="278"/>
    </row>
    <row r="9" spans="1:36" s="1" customFormat="1"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1" t="s">
        <v>395</v>
      </c>
      <c r="P9" s="1" t="s">
        <v>1000</v>
      </c>
      <c r="Q9" s="2" t="s">
        <v>396</v>
      </c>
      <c r="R9" s="2" t="s">
        <v>397</v>
      </c>
      <c r="S9" s="2" t="str">
        <f>"[q] = "&amp;C9&amp;" x "&amp;$R$9</f>
        <v>[q] = [b] x [p]</v>
      </c>
      <c r="T9" s="2" t="str">
        <f>"[r] = "&amp;D9&amp;" x "&amp;$R$9</f>
        <v>[r] = [c] x [p]</v>
      </c>
      <c r="U9" s="2" t="str">
        <f>"[s] = "&amp;E9&amp;" x "&amp;$R$9</f>
        <v>[s] = [d] x [p]</v>
      </c>
      <c r="V9" s="2" t="str">
        <f>"[t] = "&amp;F9&amp;" x "&amp;$R$9</f>
        <v>[t] = [e] x [p]</v>
      </c>
      <c r="W9" s="2" t="str">
        <f>"[u] = "&amp;G9&amp;" x "&amp;$R$9</f>
        <v>[u] = [f] x [p]</v>
      </c>
      <c r="X9" s="2" t="str">
        <f>"[v] = "&amp;H9&amp;" x "&amp;$R$9</f>
        <v>[v] = [g] x [p]</v>
      </c>
      <c r="Y9" s="2" t="str">
        <f>"[w] = "&amp;I9&amp;" x "&amp;$R$9</f>
        <v>[w] = [h] x [p]</v>
      </c>
      <c r="Z9" s="2" t="str">
        <f>"[x] = "&amp;J9&amp;" x "&amp;$R$9</f>
        <v>[x] = [i] x [p]</v>
      </c>
      <c r="AA9" s="2" t="str">
        <f>"[y] = "&amp;K9&amp;" x "&amp;$R$9</f>
        <v>[y] = [j] x [p]</v>
      </c>
      <c r="AB9" s="2" t="str">
        <f>"[z] = "&amp;L9&amp;" x "&amp;$R$9</f>
        <v>[z] = [k] x [p]</v>
      </c>
      <c r="AC9" s="2" t="str">
        <f>"[aa] = "&amp;M9&amp;" x "&amp;$R$9</f>
        <v>[aa] = [l] x [p]</v>
      </c>
      <c r="AD9" s="2" t="str">
        <f>"[bb] = "&amp;N9&amp;" x "&amp;$R$9</f>
        <v>[bb] = [m] x [p]</v>
      </c>
      <c r="AE9" s="2" t="str">
        <f>"[cc] = "&amp;O9&amp;" x "&amp;$R$9</f>
        <v>[cc] = [n] x [p]</v>
      </c>
      <c r="AF9" s="2" t="s">
        <v>805</v>
      </c>
      <c r="AG9" s="2" t="s">
        <v>637</v>
      </c>
      <c r="AH9" s="2" t="s">
        <v>638</v>
      </c>
      <c r="AI9" s="2" t="s">
        <v>639</v>
      </c>
      <c r="AJ9" s="1" t="s">
        <v>640</v>
      </c>
    </row>
    <row r="10" spans="1:36"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row>
    <row r="11" spans="1:36" ht="5.25" customHeight="1" x14ac:dyDescent="0.25">
      <c r="A11"/>
    </row>
    <row r="12" spans="1:36" x14ac:dyDescent="0.25">
      <c r="A12" s="89" t="s">
        <v>893</v>
      </c>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row>
    <row r="13" spans="1:36" x14ac:dyDescent="0.25">
      <c r="A13" s="31" t="s">
        <v>411</v>
      </c>
      <c r="B13" s="46" t="s">
        <v>524</v>
      </c>
      <c r="C13" s="37">
        <f>'A9 (Excess and Deficient DIT)'!O13</f>
        <v>-6252698</v>
      </c>
      <c r="D13" s="37">
        <f>C13+($P13/12)</f>
        <v>-6252525.333333333</v>
      </c>
      <c r="E13" s="37">
        <f t="shared" ref="E13:O13" si="0">D13+($P13/12)</f>
        <v>-6252352.666666666</v>
      </c>
      <c r="F13" s="37">
        <f t="shared" si="0"/>
        <v>-6252179.9999999991</v>
      </c>
      <c r="G13" s="37">
        <f t="shared" si="0"/>
        <v>-6252007.3333333321</v>
      </c>
      <c r="H13" s="37">
        <f t="shared" si="0"/>
        <v>-6251834.6666666651</v>
      </c>
      <c r="I13" s="37">
        <f t="shared" si="0"/>
        <v>-6251661.9999999981</v>
      </c>
      <c r="J13" s="37">
        <f t="shared" si="0"/>
        <v>-6251489.3333333312</v>
      </c>
      <c r="K13" s="37">
        <f t="shared" si="0"/>
        <v>-6251316.6666666642</v>
      </c>
      <c r="L13" s="37">
        <f t="shared" si="0"/>
        <v>-6251143.9999999972</v>
      </c>
      <c r="M13" s="37">
        <f t="shared" si="0"/>
        <v>-6250971.3333333302</v>
      </c>
      <c r="N13" s="37">
        <f t="shared" si="0"/>
        <v>-6250798.6666666633</v>
      </c>
      <c r="O13" s="37">
        <f t="shared" si="0"/>
        <v>-6250625.9999999963</v>
      </c>
      <c r="P13" s="37">
        <v>2072</v>
      </c>
      <c r="Q13" s="114" t="s">
        <v>333</v>
      </c>
      <c r="R13" s="118">
        <f>IFERROR(VLOOKUP(Q13,'P12 (Allocation Factors)'!$D:$F,3,0),0)</f>
        <v>0.13393681565544452</v>
      </c>
      <c r="S13" s="41">
        <f t="shared" ref="S13:AE20" si="1">C13*$R13</f>
        <v>-837466.45937516668</v>
      </c>
      <c r="T13" s="41">
        <f t="shared" si="1"/>
        <v>-837443.33295166341</v>
      </c>
      <c r="U13" s="41">
        <f t="shared" si="1"/>
        <v>-837420.20652816026</v>
      </c>
      <c r="V13" s="41">
        <f t="shared" si="1"/>
        <v>-837397.08010465698</v>
      </c>
      <c r="W13" s="41">
        <f t="shared" si="1"/>
        <v>-837373.95368115383</v>
      </c>
      <c r="X13" s="41">
        <f t="shared" si="1"/>
        <v>-837350.82725765056</v>
      </c>
      <c r="Y13" s="41">
        <f t="shared" si="1"/>
        <v>-837327.7008341474</v>
      </c>
      <c r="Z13" s="41">
        <f t="shared" si="1"/>
        <v>-837304.57441064413</v>
      </c>
      <c r="AA13" s="41">
        <f t="shared" si="1"/>
        <v>-837281.44798714085</v>
      </c>
      <c r="AB13" s="41">
        <f t="shared" si="1"/>
        <v>-837258.3215636377</v>
      </c>
      <c r="AC13" s="41">
        <f t="shared" si="1"/>
        <v>-837235.19514013443</v>
      </c>
      <c r="AD13" s="41">
        <f t="shared" si="1"/>
        <v>-837212.06871663127</v>
      </c>
      <c r="AE13" s="41">
        <f t="shared" si="1"/>
        <v>-837188.942293128</v>
      </c>
      <c r="AF13" s="41">
        <f t="shared" ref="AF13:AF20" si="2">AE13-S13</f>
        <v>277.51708203868475</v>
      </c>
      <c r="AG13" s="31" t="s">
        <v>785</v>
      </c>
      <c r="AH13" s="31" t="s">
        <v>887</v>
      </c>
      <c r="AI13" s="46" t="s">
        <v>521</v>
      </c>
      <c r="AJ13" s="46" t="s">
        <v>897</v>
      </c>
    </row>
    <row r="14" spans="1:36" x14ac:dyDescent="0.25">
      <c r="A14" s="31" t="s">
        <v>412</v>
      </c>
      <c r="B14" s="46" t="s">
        <v>1044</v>
      </c>
      <c r="C14" s="37">
        <f>'A9 (Excess and Deficient DIT)'!O14</f>
        <v>-242611375</v>
      </c>
      <c r="D14" s="37">
        <f t="shared" ref="D14:O18" si="3">C14+($P14/12)</f>
        <v>-241651819.5</v>
      </c>
      <c r="E14" s="37">
        <f t="shared" si="3"/>
        <v>-240692264</v>
      </c>
      <c r="F14" s="37">
        <f t="shared" si="3"/>
        <v>-239732708.5</v>
      </c>
      <c r="G14" s="37">
        <f t="shared" si="3"/>
        <v>-238773153</v>
      </c>
      <c r="H14" s="37">
        <f t="shared" si="3"/>
        <v>-237813597.5</v>
      </c>
      <c r="I14" s="37">
        <f t="shared" si="3"/>
        <v>-236854042</v>
      </c>
      <c r="J14" s="37">
        <f t="shared" si="3"/>
        <v>-235894486.5</v>
      </c>
      <c r="K14" s="37">
        <f t="shared" si="3"/>
        <v>-234934931</v>
      </c>
      <c r="L14" s="37">
        <f t="shared" si="3"/>
        <v>-233975375.5</v>
      </c>
      <c r="M14" s="37">
        <f t="shared" si="3"/>
        <v>-233015820</v>
      </c>
      <c r="N14" s="37">
        <f t="shared" si="3"/>
        <v>-232056264.5</v>
      </c>
      <c r="O14" s="37">
        <f t="shared" si="3"/>
        <v>-231096709</v>
      </c>
      <c r="P14" s="37">
        <v>11514666</v>
      </c>
      <c r="Q14" s="115" t="s">
        <v>333</v>
      </c>
      <c r="R14" s="119">
        <f>IFERROR(VLOOKUP(Q14,'P12 (Allocation Factors)'!$D:$F,3,0),0)</f>
        <v>0.13393681565544452</v>
      </c>
      <c r="S14" s="41">
        <f t="shared" si="1"/>
        <v>-32494595.009288922</v>
      </c>
      <c r="T14" s="41">
        <f t="shared" si="1"/>
        <v>-32366075.201174252</v>
      </c>
      <c r="U14" s="41">
        <f t="shared" si="1"/>
        <v>-32237555.393059585</v>
      </c>
      <c r="V14" s="41">
        <f t="shared" si="1"/>
        <v>-32109035.584944919</v>
      </c>
      <c r="W14" s="41">
        <f t="shared" si="1"/>
        <v>-31980515.776830249</v>
      </c>
      <c r="X14" s="41">
        <f t="shared" si="1"/>
        <v>-31851995.968715582</v>
      </c>
      <c r="Y14" s="41">
        <f t="shared" si="1"/>
        <v>-31723476.160600912</v>
      </c>
      <c r="Z14" s="41">
        <f t="shared" si="1"/>
        <v>-31594956.352486245</v>
      </c>
      <c r="AA14" s="41">
        <f t="shared" si="1"/>
        <v>-31466436.544371579</v>
      </c>
      <c r="AB14" s="41">
        <f t="shared" si="1"/>
        <v>-31337916.736256909</v>
      </c>
      <c r="AC14" s="41">
        <f t="shared" si="1"/>
        <v>-31209396.928142242</v>
      </c>
      <c r="AD14" s="41">
        <f t="shared" si="1"/>
        <v>-31080877.120027576</v>
      </c>
      <c r="AE14" s="41">
        <f t="shared" si="1"/>
        <v>-30952357.311912905</v>
      </c>
      <c r="AF14" s="41">
        <f t="shared" si="2"/>
        <v>1542237.6973760165</v>
      </c>
      <c r="AG14" s="31" t="s">
        <v>785</v>
      </c>
      <c r="AH14" s="31" t="s">
        <v>887</v>
      </c>
      <c r="AI14" s="46" t="s">
        <v>521</v>
      </c>
      <c r="AJ14" s="46" t="s">
        <v>897</v>
      </c>
    </row>
    <row r="15" spans="1:36" x14ac:dyDescent="0.25">
      <c r="A15" s="31" t="s">
        <v>413</v>
      </c>
      <c r="B15" s="46" t="s">
        <v>522</v>
      </c>
      <c r="C15" s="37">
        <f>'A9 (Excess and Deficient DIT)'!O15</f>
        <v>-2104267</v>
      </c>
      <c r="D15" s="37">
        <f t="shared" si="3"/>
        <v>-2093615.25</v>
      </c>
      <c r="E15" s="37">
        <f t="shared" si="3"/>
        <v>-2082963.5</v>
      </c>
      <c r="F15" s="37">
        <f t="shared" si="3"/>
        <v>-2072311.75</v>
      </c>
      <c r="G15" s="37">
        <f t="shared" si="3"/>
        <v>-2061660</v>
      </c>
      <c r="H15" s="37">
        <f t="shared" si="3"/>
        <v>-2051008.25</v>
      </c>
      <c r="I15" s="37">
        <f t="shared" si="3"/>
        <v>-2040356.5</v>
      </c>
      <c r="J15" s="37">
        <f t="shared" si="3"/>
        <v>-2029704.75</v>
      </c>
      <c r="K15" s="37">
        <f t="shared" si="3"/>
        <v>-2019053</v>
      </c>
      <c r="L15" s="37">
        <f t="shared" si="3"/>
        <v>-2008401.25</v>
      </c>
      <c r="M15" s="37">
        <f t="shared" si="3"/>
        <v>-1997749.5</v>
      </c>
      <c r="N15" s="37">
        <f t="shared" si="3"/>
        <v>-1987097.75</v>
      </c>
      <c r="O15" s="37">
        <f t="shared" si="3"/>
        <v>-1976446</v>
      </c>
      <c r="P15" s="37">
        <v>127821</v>
      </c>
      <c r="Q15" s="115" t="s">
        <v>333</v>
      </c>
      <c r="R15" s="119">
        <f>IFERROR(VLOOKUP(Q15,'P12 (Allocation Factors)'!$D:$F,3,0),0)</f>
        <v>0.13393681565544452</v>
      </c>
      <c r="S15" s="41">
        <f t="shared" si="1"/>
        <v>-281838.82126883528</v>
      </c>
      <c r="T15" s="41">
        <f t="shared" si="1"/>
        <v>-280412.15979267738</v>
      </c>
      <c r="U15" s="41">
        <f t="shared" si="1"/>
        <v>-278985.49831651949</v>
      </c>
      <c r="V15" s="41">
        <f t="shared" si="1"/>
        <v>-277558.83684036165</v>
      </c>
      <c r="W15" s="41">
        <f t="shared" si="1"/>
        <v>-276132.17536420375</v>
      </c>
      <c r="X15" s="41">
        <f t="shared" si="1"/>
        <v>-274705.51388804585</v>
      </c>
      <c r="Y15" s="41">
        <f t="shared" si="1"/>
        <v>-273278.85241188796</v>
      </c>
      <c r="Z15" s="41">
        <f t="shared" si="1"/>
        <v>-271852.19093573012</v>
      </c>
      <c r="AA15" s="41">
        <f t="shared" si="1"/>
        <v>-270425.52945957222</v>
      </c>
      <c r="AB15" s="41">
        <f t="shared" si="1"/>
        <v>-268998.86798341433</v>
      </c>
      <c r="AC15" s="41">
        <f t="shared" si="1"/>
        <v>-267572.20650725649</v>
      </c>
      <c r="AD15" s="41">
        <f t="shared" si="1"/>
        <v>-266145.54503109859</v>
      </c>
      <c r="AE15" s="41">
        <f t="shared" si="1"/>
        <v>-264718.88355494069</v>
      </c>
      <c r="AF15" s="41">
        <f t="shared" si="2"/>
        <v>17119.937713894586</v>
      </c>
      <c r="AG15" s="31" t="s">
        <v>785</v>
      </c>
      <c r="AH15" s="31" t="s">
        <v>886</v>
      </c>
      <c r="AI15" s="46" t="s">
        <v>903</v>
      </c>
      <c r="AJ15" s="46" t="s">
        <v>897</v>
      </c>
    </row>
    <row r="16" spans="1:36" x14ac:dyDescent="0.25">
      <c r="A16" s="31" t="s">
        <v>456</v>
      </c>
      <c r="B16" s="46" t="s">
        <v>523</v>
      </c>
      <c r="C16" s="37">
        <f>'A9 (Excess and Deficient DIT)'!O16</f>
        <v>-1367963</v>
      </c>
      <c r="D16" s="37">
        <f t="shared" si="3"/>
        <v>-1361038.4166666667</v>
      </c>
      <c r="E16" s="37">
        <f t="shared" si="3"/>
        <v>-1354113.8333333335</v>
      </c>
      <c r="F16" s="37">
        <f t="shared" si="3"/>
        <v>-1347189.2500000002</v>
      </c>
      <c r="G16" s="37">
        <f t="shared" si="3"/>
        <v>-1340264.666666667</v>
      </c>
      <c r="H16" s="37">
        <f t="shared" si="3"/>
        <v>-1333340.0833333337</v>
      </c>
      <c r="I16" s="37">
        <f t="shared" si="3"/>
        <v>-1326415.5000000005</v>
      </c>
      <c r="J16" s="37">
        <f t="shared" si="3"/>
        <v>-1319490.9166666672</v>
      </c>
      <c r="K16" s="37">
        <f t="shared" si="3"/>
        <v>-1312566.333333334</v>
      </c>
      <c r="L16" s="37">
        <f t="shared" si="3"/>
        <v>-1305641.7500000007</v>
      </c>
      <c r="M16" s="37">
        <f t="shared" si="3"/>
        <v>-1298717.1666666674</v>
      </c>
      <c r="N16" s="37">
        <f t="shared" si="3"/>
        <v>-1291792.5833333342</v>
      </c>
      <c r="O16" s="37">
        <f t="shared" si="3"/>
        <v>-1284868.0000000009</v>
      </c>
      <c r="P16" s="37">
        <v>83095</v>
      </c>
      <c r="Q16" s="115" t="s">
        <v>333</v>
      </c>
      <c r="R16" s="119">
        <f>IFERROR(VLOOKUP(Q16,'P12 (Allocation Factors)'!$D:$F,3,0),0)</f>
        <v>0.13393681565544452</v>
      </c>
      <c r="S16" s="41">
        <f t="shared" si="1"/>
        <v>-183220.60815446885</v>
      </c>
      <c r="T16" s="41">
        <f t="shared" si="1"/>
        <v>-182293.15151306143</v>
      </c>
      <c r="U16" s="41">
        <f t="shared" si="1"/>
        <v>-181365.69487165401</v>
      </c>
      <c r="V16" s="41">
        <f t="shared" si="1"/>
        <v>-180438.23823024658</v>
      </c>
      <c r="W16" s="41">
        <f t="shared" si="1"/>
        <v>-179510.78158883916</v>
      </c>
      <c r="X16" s="41">
        <f t="shared" si="1"/>
        <v>-178583.32494743174</v>
      </c>
      <c r="Y16" s="41">
        <f t="shared" si="1"/>
        <v>-177655.86830602432</v>
      </c>
      <c r="Z16" s="41">
        <f t="shared" si="1"/>
        <v>-176728.4116646169</v>
      </c>
      <c r="AA16" s="41">
        <f t="shared" si="1"/>
        <v>-175800.95502320951</v>
      </c>
      <c r="AB16" s="41">
        <f t="shared" si="1"/>
        <v>-174873.49838180208</v>
      </c>
      <c r="AC16" s="41">
        <f t="shared" si="1"/>
        <v>-173946.04174039466</v>
      </c>
      <c r="AD16" s="41">
        <f t="shared" si="1"/>
        <v>-173018.58509898724</v>
      </c>
      <c r="AE16" s="41">
        <f t="shared" si="1"/>
        <v>-172091.12845757982</v>
      </c>
      <c r="AF16" s="41">
        <f t="shared" si="2"/>
        <v>11129.47969688903</v>
      </c>
      <c r="AG16" s="31" t="s">
        <v>785</v>
      </c>
      <c r="AH16" s="31" t="s">
        <v>886</v>
      </c>
      <c r="AI16" s="46" t="s">
        <v>903</v>
      </c>
      <c r="AJ16" s="46" t="s">
        <v>897</v>
      </c>
    </row>
    <row r="17" spans="1:36" x14ac:dyDescent="0.25">
      <c r="A17" s="31" t="s">
        <v>457</v>
      </c>
      <c r="B17" s="46"/>
      <c r="C17" s="37">
        <f>'A9 (Excess and Deficient DIT)'!O17</f>
        <v>0</v>
      </c>
      <c r="D17" s="37">
        <f t="shared" si="3"/>
        <v>0</v>
      </c>
      <c r="E17" s="37">
        <f t="shared" si="3"/>
        <v>0</v>
      </c>
      <c r="F17" s="37">
        <f t="shared" si="3"/>
        <v>0</v>
      </c>
      <c r="G17" s="37">
        <f t="shared" si="3"/>
        <v>0</v>
      </c>
      <c r="H17" s="37">
        <f t="shared" si="3"/>
        <v>0</v>
      </c>
      <c r="I17" s="37">
        <f t="shared" si="3"/>
        <v>0</v>
      </c>
      <c r="J17" s="37">
        <f t="shared" si="3"/>
        <v>0</v>
      </c>
      <c r="K17" s="37">
        <f t="shared" si="3"/>
        <v>0</v>
      </c>
      <c r="L17" s="37">
        <f t="shared" si="3"/>
        <v>0</v>
      </c>
      <c r="M17" s="37">
        <f t="shared" si="3"/>
        <v>0</v>
      </c>
      <c r="N17" s="37">
        <f t="shared" si="3"/>
        <v>0</v>
      </c>
      <c r="O17" s="37">
        <f t="shared" si="3"/>
        <v>0</v>
      </c>
      <c r="P17" s="37">
        <v>0</v>
      </c>
      <c r="Q17" s="115" t="s">
        <v>29</v>
      </c>
      <c r="R17" s="119">
        <f>IFERROR(VLOOKUP(Q17,'P12 (Allocation Factors)'!$D:$F,3,0),0)</f>
        <v>0</v>
      </c>
      <c r="S17" s="41">
        <f t="shared" si="1"/>
        <v>0</v>
      </c>
      <c r="T17" s="41">
        <f t="shared" si="1"/>
        <v>0</v>
      </c>
      <c r="U17" s="41">
        <f t="shared" si="1"/>
        <v>0</v>
      </c>
      <c r="V17" s="41">
        <f t="shared" si="1"/>
        <v>0</v>
      </c>
      <c r="W17" s="41">
        <f t="shared" si="1"/>
        <v>0</v>
      </c>
      <c r="X17" s="41">
        <f t="shared" si="1"/>
        <v>0</v>
      </c>
      <c r="Y17" s="41">
        <f t="shared" si="1"/>
        <v>0</v>
      </c>
      <c r="Z17" s="41">
        <f t="shared" si="1"/>
        <v>0</v>
      </c>
      <c r="AA17" s="41">
        <f t="shared" si="1"/>
        <v>0</v>
      </c>
      <c r="AB17" s="41">
        <f t="shared" si="1"/>
        <v>0</v>
      </c>
      <c r="AC17" s="41">
        <f t="shared" si="1"/>
        <v>0</v>
      </c>
      <c r="AD17" s="41">
        <f t="shared" si="1"/>
        <v>0</v>
      </c>
      <c r="AE17" s="41">
        <f t="shared" si="1"/>
        <v>0</v>
      </c>
      <c r="AF17" s="41">
        <f t="shared" si="2"/>
        <v>0</v>
      </c>
      <c r="AG17" s="31" t="s">
        <v>357</v>
      </c>
      <c r="AH17" s="31"/>
      <c r="AI17" s="46" t="s">
        <v>357</v>
      </c>
      <c r="AJ17" s="46" t="s">
        <v>357</v>
      </c>
    </row>
    <row r="18" spans="1:36" x14ac:dyDescent="0.25">
      <c r="A18" s="31" t="s">
        <v>458</v>
      </c>
      <c r="B18" s="46" t="s">
        <v>524</v>
      </c>
      <c r="C18" s="37">
        <f>'A9 (Excess and Deficient DIT)'!O18</f>
        <v>-4852925</v>
      </c>
      <c r="D18" s="37">
        <f t="shared" si="3"/>
        <v>-4833494.583333333</v>
      </c>
      <c r="E18" s="37">
        <f t="shared" si="3"/>
        <v>-4814064.166666666</v>
      </c>
      <c r="F18" s="37">
        <f t="shared" si="3"/>
        <v>-4794633.7499999991</v>
      </c>
      <c r="G18" s="37">
        <f t="shared" si="3"/>
        <v>-4775203.3333333321</v>
      </c>
      <c r="H18" s="37">
        <f t="shared" si="3"/>
        <v>-4755772.9166666651</v>
      </c>
      <c r="I18" s="37">
        <f t="shared" si="3"/>
        <v>-4736342.4999999981</v>
      </c>
      <c r="J18" s="37">
        <f t="shared" si="3"/>
        <v>-4716912.0833333312</v>
      </c>
      <c r="K18" s="37">
        <f t="shared" si="3"/>
        <v>-4697481.6666666642</v>
      </c>
      <c r="L18" s="37">
        <f t="shared" si="3"/>
        <v>-4678051.2499999972</v>
      </c>
      <c r="M18" s="37">
        <f t="shared" si="3"/>
        <v>-4658620.8333333302</v>
      </c>
      <c r="N18" s="37">
        <f t="shared" si="3"/>
        <v>-4639190.4166666633</v>
      </c>
      <c r="O18" s="37">
        <f t="shared" si="3"/>
        <v>-4619759.9999999963</v>
      </c>
      <c r="P18" s="37">
        <v>233165</v>
      </c>
      <c r="Q18" s="115" t="s">
        <v>333</v>
      </c>
      <c r="R18" s="119">
        <f>IFERROR(VLOOKUP(Q18,'P12 (Allocation Factors)'!$D:$F,3,0),0)</f>
        <v>0.13393681565544452</v>
      </c>
      <c r="S18" s="41">
        <f t="shared" si="1"/>
        <v>-649985.32111469808</v>
      </c>
      <c r="T18" s="41">
        <f t="shared" si="1"/>
        <v>-647382.87297950627</v>
      </c>
      <c r="U18" s="41">
        <f t="shared" si="1"/>
        <v>-644780.42484431434</v>
      </c>
      <c r="V18" s="41">
        <f t="shared" si="1"/>
        <v>-642177.97670912254</v>
      </c>
      <c r="W18" s="41">
        <f t="shared" si="1"/>
        <v>-639575.52857393073</v>
      </c>
      <c r="X18" s="41">
        <f t="shared" si="1"/>
        <v>-636973.08043873881</v>
      </c>
      <c r="Y18" s="41">
        <f t="shared" si="1"/>
        <v>-634370.632303547</v>
      </c>
      <c r="Z18" s="41">
        <f t="shared" si="1"/>
        <v>-631768.18416835507</v>
      </c>
      <c r="AA18" s="41">
        <f t="shared" si="1"/>
        <v>-629165.73603316327</v>
      </c>
      <c r="AB18" s="41">
        <f t="shared" si="1"/>
        <v>-626563.28789797146</v>
      </c>
      <c r="AC18" s="41">
        <f t="shared" si="1"/>
        <v>-623960.83976277953</v>
      </c>
      <c r="AD18" s="41">
        <f t="shared" si="1"/>
        <v>-621358.39162758773</v>
      </c>
      <c r="AE18" s="41">
        <f t="shared" si="1"/>
        <v>-618755.94349239592</v>
      </c>
      <c r="AF18" s="41">
        <f t="shared" si="2"/>
        <v>31229.377622302156</v>
      </c>
      <c r="AG18" s="31" t="s">
        <v>785</v>
      </c>
      <c r="AH18" s="31" t="s">
        <v>886</v>
      </c>
      <c r="AI18" s="46" t="s">
        <v>913</v>
      </c>
      <c r="AJ18" s="46" t="s">
        <v>897</v>
      </c>
    </row>
    <row r="19" spans="1:36" x14ac:dyDescent="0.25">
      <c r="A19" s="31" t="s">
        <v>357</v>
      </c>
      <c r="B19" s="46" t="s">
        <v>357</v>
      </c>
      <c r="C19" s="37">
        <v>0</v>
      </c>
      <c r="D19" s="37">
        <v>0</v>
      </c>
      <c r="E19" s="37">
        <v>0</v>
      </c>
      <c r="F19" s="37">
        <v>0</v>
      </c>
      <c r="G19" s="37">
        <v>0</v>
      </c>
      <c r="H19" s="37">
        <v>0</v>
      </c>
      <c r="I19" s="37">
        <v>0</v>
      </c>
      <c r="J19" s="37">
        <v>0</v>
      </c>
      <c r="K19" s="37">
        <v>0</v>
      </c>
      <c r="L19" s="37">
        <v>0</v>
      </c>
      <c r="M19" s="37">
        <v>0</v>
      </c>
      <c r="N19" s="37">
        <v>0</v>
      </c>
      <c r="O19" s="37">
        <v>0</v>
      </c>
      <c r="P19" s="37">
        <v>0</v>
      </c>
      <c r="Q19" s="115" t="s">
        <v>357</v>
      </c>
      <c r="R19" s="119">
        <f>IFERROR(VLOOKUP(Q19,'P12 (Allocation Factors)'!$D:$F,3,0),0)</f>
        <v>0</v>
      </c>
      <c r="S19" s="41">
        <f t="shared" si="1"/>
        <v>0</v>
      </c>
      <c r="T19" s="41">
        <f t="shared" si="1"/>
        <v>0</v>
      </c>
      <c r="U19" s="41">
        <f t="shared" si="1"/>
        <v>0</v>
      </c>
      <c r="V19" s="41">
        <f t="shared" si="1"/>
        <v>0</v>
      </c>
      <c r="W19" s="41">
        <f t="shared" si="1"/>
        <v>0</v>
      </c>
      <c r="X19" s="41">
        <f t="shared" si="1"/>
        <v>0</v>
      </c>
      <c r="Y19" s="41">
        <f t="shared" si="1"/>
        <v>0</v>
      </c>
      <c r="Z19" s="41">
        <f t="shared" si="1"/>
        <v>0</v>
      </c>
      <c r="AA19" s="41">
        <f t="shared" si="1"/>
        <v>0</v>
      </c>
      <c r="AB19" s="41">
        <f t="shared" si="1"/>
        <v>0</v>
      </c>
      <c r="AC19" s="41">
        <f t="shared" si="1"/>
        <v>0</v>
      </c>
      <c r="AD19" s="41">
        <f t="shared" si="1"/>
        <v>0</v>
      </c>
      <c r="AE19" s="41">
        <f t="shared" si="1"/>
        <v>0</v>
      </c>
      <c r="AF19" s="41">
        <f t="shared" si="2"/>
        <v>0</v>
      </c>
      <c r="AG19" s="31" t="s">
        <v>357</v>
      </c>
      <c r="AH19" s="31"/>
      <c r="AI19" s="46" t="s">
        <v>357</v>
      </c>
      <c r="AJ19" s="46" t="s">
        <v>357</v>
      </c>
    </row>
    <row r="20" spans="1:36" x14ac:dyDescent="0.25">
      <c r="A20" s="100" t="s">
        <v>478</v>
      </c>
      <c r="B20" s="48" t="s">
        <v>357</v>
      </c>
      <c r="C20" s="20">
        <v>0</v>
      </c>
      <c r="D20" s="37">
        <v>0</v>
      </c>
      <c r="E20" s="37">
        <v>0</v>
      </c>
      <c r="F20" s="37">
        <v>0</v>
      </c>
      <c r="G20" s="37">
        <v>0</v>
      </c>
      <c r="H20" s="37">
        <v>0</v>
      </c>
      <c r="I20" s="37">
        <v>0</v>
      </c>
      <c r="J20" s="37">
        <v>0</v>
      </c>
      <c r="K20" s="37">
        <v>0</v>
      </c>
      <c r="L20" s="37">
        <v>0</v>
      </c>
      <c r="M20" s="37">
        <v>0</v>
      </c>
      <c r="N20" s="37">
        <v>0</v>
      </c>
      <c r="O20" s="20">
        <v>0</v>
      </c>
      <c r="P20" s="20">
        <v>0</v>
      </c>
      <c r="Q20" s="116" t="s">
        <v>357</v>
      </c>
      <c r="R20" s="119">
        <f>IFERROR(VLOOKUP(Q20,'P12 (Allocation Factors)'!$D:$F,3,0),0)</f>
        <v>0</v>
      </c>
      <c r="S20" s="41">
        <f t="shared" si="1"/>
        <v>0</v>
      </c>
      <c r="T20" s="41">
        <f t="shared" si="1"/>
        <v>0</v>
      </c>
      <c r="U20" s="41">
        <f t="shared" si="1"/>
        <v>0</v>
      </c>
      <c r="V20" s="41">
        <f t="shared" si="1"/>
        <v>0</v>
      </c>
      <c r="W20" s="41">
        <f t="shared" si="1"/>
        <v>0</v>
      </c>
      <c r="X20" s="41">
        <f t="shared" si="1"/>
        <v>0</v>
      </c>
      <c r="Y20" s="41">
        <f t="shared" si="1"/>
        <v>0</v>
      </c>
      <c r="Z20" s="41">
        <f t="shared" si="1"/>
        <v>0</v>
      </c>
      <c r="AA20" s="41">
        <f t="shared" si="1"/>
        <v>0</v>
      </c>
      <c r="AB20" s="41">
        <f t="shared" si="1"/>
        <v>0</v>
      </c>
      <c r="AC20" s="41">
        <f t="shared" si="1"/>
        <v>0</v>
      </c>
      <c r="AD20" s="41">
        <f t="shared" si="1"/>
        <v>0</v>
      </c>
      <c r="AE20" s="41">
        <f t="shared" si="1"/>
        <v>0</v>
      </c>
      <c r="AF20" s="41">
        <f t="shared" si="2"/>
        <v>0</v>
      </c>
      <c r="AG20" s="31" t="s">
        <v>357</v>
      </c>
      <c r="AH20" s="31"/>
      <c r="AI20" s="53" t="s">
        <v>357</v>
      </c>
      <c r="AJ20" s="53" t="s">
        <v>357</v>
      </c>
    </row>
    <row r="21" spans="1:36" s="6" customFormat="1" x14ac:dyDescent="0.25">
      <c r="A21" s="88">
        <v>2</v>
      </c>
      <c r="B21" s="89" t="str">
        <f>"Total Excess Deferred Income Taxes Acct No. 254 (Sum Lns. "&amp;A13&amp;" through "&amp;A20&amp;")"</f>
        <v>Total Excess Deferred Income Taxes Acct No. 254 (Sum Lns. 1a through 1zz)</v>
      </c>
      <c r="C21" s="90">
        <f t="shared" ref="C21:P21" si="4">SUM(C13:C20)</f>
        <v>-257189228</v>
      </c>
      <c r="D21" s="90">
        <f t="shared" si="4"/>
        <v>-256192493.08333334</v>
      </c>
      <c r="E21" s="90">
        <f t="shared" si="4"/>
        <v>-255195758.16666666</v>
      </c>
      <c r="F21" s="90">
        <f t="shared" si="4"/>
        <v>-254199023.25</v>
      </c>
      <c r="G21" s="90">
        <f t="shared" si="4"/>
        <v>-253202288.33333334</v>
      </c>
      <c r="H21" s="90">
        <f t="shared" si="4"/>
        <v>-252205553.41666666</v>
      </c>
      <c r="I21" s="90">
        <f t="shared" si="4"/>
        <v>-251208818.5</v>
      </c>
      <c r="J21" s="90">
        <f t="shared" si="4"/>
        <v>-250212083.58333334</v>
      </c>
      <c r="K21" s="90">
        <f t="shared" si="4"/>
        <v>-249215348.66666666</v>
      </c>
      <c r="L21" s="90">
        <f t="shared" si="4"/>
        <v>-248218613.75</v>
      </c>
      <c r="M21" s="90">
        <f t="shared" si="4"/>
        <v>-247221878.83333334</v>
      </c>
      <c r="N21" s="90">
        <f t="shared" si="4"/>
        <v>-246225143.91666666</v>
      </c>
      <c r="O21" s="90">
        <f t="shared" si="4"/>
        <v>-245228409</v>
      </c>
      <c r="P21" s="90">
        <f t="shared" si="4"/>
        <v>11960819</v>
      </c>
      <c r="Q21" s="90"/>
      <c r="R21" s="90"/>
      <c r="S21" s="90">
        <f t="shared" ref="S21:AF21" si="5">SUM(S13:S20)</f>
        <v>-34447106.219202086</v>
      </c>
      <c r="T21" s="90">
        <f t="shared" si="5"/>
        <v>-34313606.718411162</v>
      </c>
      <c r="U21" s="90">
        <f t="shared" si="5"/>
        <v>-34180107.217620231</v>
      </c>
      <c r="V21" s="90">
        <f t="shared" si="5"/>
        <v>-34046607.716829307</v>
      </c>
      <c r="W21" s="90">
        <f t="shared" si="5"/>
        <v>-33913108.216038376</v>
      </c>
      <c r="X21" s="90">
        <f t="shared" si="5"/>
        <v>-33779608.715247452</v>
      </c>
      <c r="Y21" s="90">
        <f t="shared" si="5"/>
        <v>-33646109.214456521</v>
      </c>
      <c r="Z21" s="90">
        <f t="shared" si="5"/>
        <v>-33512609.71366559</v>
      </c>
      <c r="AA21" s="90">
        <f t="shared" si="5"/>
        <v>-33379110.212874666</v>
      </c>
      <c r="AB21" s="90">
        <f t="shared" si="5"/>
        <v>-33245610.712083735</v>
      </c>
      <c r="AC21" s="90">
        <f t="shared" si="5"/>
        <v>-33112111.211292811</v>
      </c>
      <c r="AD21" s="90">
        <f t="shared" si="5"/>
        <v>-32978611.710501876</v>
      </c>
      <c r="AE21" s="90">
        <f t="shared" si="5"/>
        <v>-32845112.209710948</v>
      </c>
      <c r="AF21" s="90">
        <f t="shared" si="5"/>
        <v>1601994.009491141</v>
      </c>
      <c r="AG21" s="90"/>
      <c r="AH21" s="90"/>
      <c r="AI21" s="90"/>
      <c r="AJ21" s="90"/>
    </row>
    <row r="22" spans="1:36" s="6" customFormat="1" x14ac:dyDescent="0.25">
      <c r="A22" s="16"/>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row>
    <row r="23" spans="1:36" s="127" customFormat="1" x14ac:dyDescent="0.25">
      <c r="A23" s="126">
        <f>A21+1</f>
        <v>3</v>
      </c>
      <c r="B23" s="127" t="s">
        <v>888</v>
      </c>
      <c r="C23" s="128">
        <f t="shared" ref="C23:P23" si="6">SUMIF($AG$13:$AG$20,"Yes",C$13:C$20)</f>
        <v>-257189228</v>
      </c>
      <c r="D23" s="128">
        <f t="shared" si="6"/>
        <v>-256192493.08333334</v>
      </c>
      <c r="E23" s="128">
        <f t="shared" si="6"/>
        <v>-255195758.16666666</v>
      </c>
      <c r="F23" s="128">
        <f t="shared" si="6"/>
        <v>-254199023.25</v>
      </c>
      <c r="G23" s="128">
        <f t="shared" si="6"/>
        <v>-253202288.33333334</v>
      </c>
      <c r="H23" s="128">
        <f t="shared" si="6"/>
        <v>-252205553.41666666</v>
      </c>
      <c r="I23" s="128">
        <f t="shared" si="6"/>
        <v>-251208818.5</v>
      </c>
      <c r="J23" s="128">
        <f t="shared" si="6"/>
        <v>-250212083.58333334</v>
      </c>
      <c r="K23" s="128">
        <f t="shared" si="6"/>
        <v>-249215348.66666666</v>
      </c>
      <c r="L23" s="128">
        <f t="shared" si="6"/>
        <v>-248218613.75</v>
      </c>
      <c r="M23" s="128">
        <f t="shared" si="6"/>
        <v>-247221878.83333334</v>
      </c>
      <c r="N23" s="128">
        <f t="shared" si="6"/>
        <v>-246225143.91666666</v>
      </c>
      <c r="O23" s="128">
        <f t="shared" si="6"/>
        <v>-245228409</v>
      </c>
      <c r="P23" s="128">
        <f t="shared" si="6"/>
        <v>11960819</v>
      </c>
      <c r="Q23" s="128"/>
      <c r="R23" s="128"/>
      <c r="S23" s="128">
        <f t="shared" ref="S23:AF23" si="7">SUMIF($AG$13:$AG$20,"Yes",S$13:S$20)</f>
        <v>-34447106.219202086</v>
      </c>
      <c r="T23" s="128">
        <f t="shared" si="7"/>
        <v>-34313606.718411162</v>
      </c>
      <c r="U23" s="128">
        <f t="shared" si="7"/>
        <v>-34180107.217620231</v>
      </c>
      <c r="V23" s="128">
        <f t="shared" si="7"/>
        <v>-34046607.716829307</v>
      </c>
      <c r="W23" s="128">
        <f t="shared" si="7"/>
        <v>-33913108.216038376</v>
      </c>
      <c r="X23" s="128">
        <f t="shared" si="7"/>
        <v>-33779608.715247452</v>
      </c>
      <c r="Y23" s="128">
        <f t="shared" si="7"/>
        <v>-33646109.214456521</v>
      </c>
      <c r="Z23" s="128">
        <f t="shared" si="7"/>
        <v>-33512609.71366559</v>
      </c>
      <c r="AA23" s="128">
        <f t="shared" si="7"/>
        <v>-33379110.212874666</v>
      </c>
      <c r="AB23" s="128">
        <f t="shared" si="7"/>
        <v>-33245610.712083735</v>
      </c>
      <c r="AC23" s="128">
        <f t="shared" si="7"/>
        <v>-33112111.211292811</v>
      </c>
      <c r="AD23" s="128">
        <f t="shared" si="7"/>
        <v>-32978611.710501876</v>
      </c>
      <c r="AE23" s="128">
        <f t="shared" si="7"/>
        <v>-32845112.209710948</v>
      </c>
      <c r="AF23" s="128">
        <f t="shared" si="7"/>
        <v>1601994.009491141</v>
      </c>
      <c r="AG23" s="128"/>
      <c r="AH23" s="128"/>
      <c r="AI23" s="128"/>
      <c r="AJ23" s="128"/>
    </row>
    <row r="24" spans="1:36" s="127" customFormat="1" ht="15.75" hidden="1" customHeight="1" x14ac:dyDescent="0.25">
      <c r="A24" s="126"/>
      <c r="C24" s="128"/>
      <c r="D24" s="128"/>
      <c r="E24" s="128"/>
      <c r="F24" s="128"/>
      <c r="G24" s="128"/>
      <c r="H24" s="128"/>
      <c r="I24" s="128"/>
      <c r="J24" s="128"/>
      <c r="K24" s="128"/>
      <c r="L24" s="128"/>
      <c r="M24" s="128"/>
      <c r="N24" s="128"/>
      <c r="O24" s="128"/>
      <c r="P24" s="128"/>
      <c r="Q24" s="128"/>
      <c r="R24" s="128"/>
      <c r="S24" s="128"/>
      <c r="T24" s="128">
        <f>T23-S23</f>
        <v>133499.50079092383</v>
      </c>
      <c r="U24" s="128">
        <f t="shared" ref="U24:AE24" si="8">U23-T23</f>
        <v>133499.50079093128</v>
      </c>
      <c r="V24" s="128">
        <f t="shared" si="8"/>
        <v>133499.50079092383</v>
      </c>
      <c r="W24" s="128">
        <f t="shared" si="8"/>
        <v>133499.50079093128</v>
      </c>
      <c r="X24" s="128">
        <f t="shared" si="8"/>
        <v>133499.50079092383</v>
      </c>
      <c r="Y24" s="128">
        <f t="shared" si="8"/>
        <v>133499.50079093128</v>
      </c>
      <c r="Z24" s="128">
        <f t="shared" si="8"/>
        <v>133499.50079093128</v>
      </c>
      <c r="AA24" s="128">
        <f t="shared" si="8"/>
        <v>133499.50079092383</v>
      </c>
      <c r="AB24" s="128">
        <f t="shared" si="8"/>
        <v>133499.50079093128</v>
      </c>
      <c r="AC24" s="128">
        <f t="shared" si="8"/>
        <v>133499.50079092383</v>
      </c>
      <c r="AD24" s="128">
        <f t="shared" si="8"/>
        <v>133499.50079093501</v>
      </c>
      <c r="AE24" s="128">
        <f t="shared" si="8"/>
        <v>133499.50079092756</v>
      </c>
      <c r="AF24" s="128"/>
      <c r="AG24" s="128"/>
      <c r="AH24" s="128"/>
      <c r="AI24" s="128"/>
      <c r="AJ24" s="128"/>
    </row>
    <row r="25" spans="1:36" s="127" customFormat="1" x14ac:dyDescent="0.25">
      <c r="A25" s="126">
        <f>A23+1</f>
        <v>4</v>
      </c>
      <c r="B25" s="127" t="s">
        <v>889</v>
      </c>
      <c r="C25" s="128">
        <f t="shared" ref="C25:P25" si="9">SUMIF($AG$13:$AG$20,"No",C$13:C$20)</f>
        <v>0</v>
      </c>
      <c r="D25" s="128">
        <f t="shared" si="9"/>
        <v>0</v>
      </c>
      <c r="E25" s="128">
        <f t="shared" si="9"/>
        <v>0</v>
      </c>
      <c r="F25" s="128">
        <f t="shared" si="9"/>
        <v>0</v>
      </c>
      <c r="G25" s="128">
        <f t="shared" si="9"/>
        <v>0</v>
      </c>
      <c r="H25" s="128">
        <f t="shared" si="9"/>
        <v>0</v>
      </c>
      <c r="I25" s="128">
        <f t="shared" si="9"/>
        <v>0</v>
      </c>
      <c r="J25" s="128">
        <f t="shared" si="9"/>
        <v>0</v>
      </c>
      <c r="K25" s="128">
        <f t="shared" si="9"/>
        <v>0</v>
      </c>
      <c r="L25" s="128">
        <f t="shared" si="9"/>
        <v>0</v>
      </c>
      <c r="M25" s="128">
        <f t="shared" si="9"/>
        <v>0</v>
      </c>
      <c r="N25" s="128">
        <f t="shared" si="9"/>
        <v>0</v>
      </c>
      <c r="O25" s="128">
        <f t="shared" si="9"/>
        <v>0</v>
      </c>
      <c r="P25" s="128">
        <f t="shared" si="9"/>
        <v>0</v>
      </c>
      <c r="Q25" s="128"/>
      <c r="R25" s="128"/>
      <c r="S25" s="128">
        <f t="shared" ref="S25:AF25" si="10">SUMIF($AG$13:$AG$20,"No",S$13:S$20)</f>
        <v>0</v>
      </c>
      <c r="T25" s="128">
        <f t="shared" si="10"/>
        <v>0</v>
      </c>
      <c r="U25" s="128">
        <f t="shared" si="10"/>
        <v>0</v>
      </c>
      <c r="V25" s="128">
        <f t="shared" si="10"/>
        <v>0</v>
      </c>
      <c r="W25" s="128">
        <f t="shared" si="10"/>
        <v>0</v>
      </c>
      <c r="X25" s="128">
        <f t="shared" si="10"/>
        <v>0</v>
      </c>
      <c r="Y25" s="128">
        <f t="shared" si="10"/>
        <v>0</v>
      </c>
      <c r="Z25" s="128">
        <f t="shared" si="10"/>
        <v>0</v>
      </c>
      <c r="AA25" s="128">
        <f t="shared" si="10"/>
        <v>0</v>
      </c>
      <c r="AB25" s="128">
        <f t="shared" si="10"/>
        <v>0</v>
      </c>
      <c r="AC25" s="128">
        <f t="shared" si="10"/>
        <v>0</v>
      </c>
      <c r="AD25" s="128">
        <f t="shared" si="10"/>
        <v>0</v>
      </c>
      <c r="AE25" s="128">
        <f t="shared" si="10"/>
        <v>0</v>
      </c>
      <c r="AF25" s="128">
        <f t="shared" si="10"/>
        <v>0</v>
      </c>
      <c r="AG25" s="128"/>
      <c r="AH25" s="128"/>
      <c r="AI25" s="128"/>
      <c r="AJ25" s="128"/>
    </row>
    <row r="26" spans="1:36" x14ac:dyDescent="0.25">
      <c r="C26" s="10"/>
      <c r="D26" s="10"/>
      <c r="E26" s="10"/>
      <c r="F26" s="10"/>
      <c r="G26" s="10"/>
      <c r="H26" s="10"/>
      <c r="I26" s="10"/>
      <c r="J26" s="10"/>
      <c r="K26" s="10"/>
      <c r="L26" s="10"/>
      <c r="M26" s="10"/>
      <c r="N26" s="10"/>
      <c r="O26" s="10"/>
      <c r="P26" s="10"/>
    </row>
    <row r="27" spans="1:36" x14ac:dyDescent="0.25">
      <c r="A27" s="89" t="s">
        <v>894</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row>
    <row r="28" spans="1:36" x14ac:dyDescent="0.25">
      <c r="A28" s="31" t="s">
        <v>354</v>
      </c>
      <c r="B28" s="46" t="s">
        <v>525</v>
      </c>
      <c r="C28" s="37">
        <f>'A9 (Excess and Deficient DIT)'!O28</f>
        <v>3132224</v>
      </c>
      <c r="D28" s="37">
        <f t="shared" ref="D28:O28" si="11">C28+($P28/12)</f>
        <v>3128835.9166666665</v>
      </c>
      <c r="E28" s="37">
        <f t="shared" si="11"/>
        <v>3125447.833333333</v>
      </c>
      <c r="F28" s="37">
        <f t="shared" si="11"/>
        <v>3122059.7499999995</v>
      </c>
      <c r="G28" s="37">
        <f t="shared" si="11"/>
        <v>3118671.666666666</v>
      </c>
      <c r="H28" s="37">
        <f t="shared" si="11"/>
        <v>3115283.5833333326</v>
      </c>
      <c r="I28" s="37">
        <f t="shared" si="11"/>
        <v>3111895.4999999991</v>
      </c>
      <c r="J28" s="37">
        <f t="shared" si="11"/>
        <v>3108507.4166666656</v>
      </c>
      <c r="K28" s="37">
        <f t="shared" si="11"/>
        <v>3105119.3333333321</v>
      </c>
      <c r="L28" s="37">
        <f t="shared" si="11"/>
        <v>3101731.2499999986</v>
      </c>
      <c r="M28" s="37">
        <f t="shared" si="11"/>
        <v>3098343.1666666651</v>
      </c>
      <c r="N28" s="37">
        <f t="shared" si="11"/>
        <v>3094955.0833333316</v>
      </c>
      <c r="O28" s="37">
        <f t="shared" si="11"/>
        <v>3091566.9999999981</v>
      </c>
      <c r="P28" s="37">
        <v>-40657</v>
      </c>
      <c r="Q28" s="115" t="s">
        <v>333</v>
      </c>
      <c r="R28" s="119">
        <f>IFERROR(VLOOKUP(Q28,'P12 (Allocation Factors)'!$D:$F,3,0),0)</f>
        <v>0.13393681565544452</v>
      </c>
      <c r="S28" s="41">
        <f t="shared" ref="S28:AE32" si="12">C28*$R28</f>
        <v>419520.10847955907</v>
      </c>
      <c r="T28" s="41">
        <f t="shared" si="12"/>
        <v>419066.31938671711</v>
      </c>
      <c r="U28" s="41">
        <f t="shared" si="12"/>
        <v>418612.53029387508</v>
      </c>
      <c r="V28" s="41">
        <f t="shared" si="12"/>
        <v>418158.74120103312</v>
      </c>
      <c r="W28" s="41">
        <f t="shared" si="12"/>
        <v>417704.95210819115</v>
      </c>
      <c r="X28" s="41">
        <f t="shared" si="12"/>
        <v>417251.16301534919</v>
      </c>
      <c r="Y28" s="41">
        <f t="shared" si="12"/>
        <v>416797.37392250722</v>
      </c>
      <c r="Z28" s="41">
        <f t="shared" si="12"/>
        <v>416343.58482966525</v>
      </c>
      <c r="AA28" s="41">
        <f t="shared" si="12"/>
        <v>415889.79573682329</v>
      </c>
      <c r="AB28" s="41">
        <f t="shared" si="12"/>
        <v>415436.00664398132</v>
      </c>
      <c r="AC28" s="41">
        <f t="shared" si="12"/>
        <v>414982.21755113936</v>
      </c>
      <c r="AD28" s="41">
        <f t="shared" si="12"/>
        <v>414528.42845829739</v>
      </c>
      <c r="AE28" s="41">
        <f t="shared" si="12"/>
        <v>414074.63936545537</v>
      </c>
      <c r="AF28" s="41">
        <f t="shared" ref="AF28" si="13">AE28-S28</f>
        <v>-5445.4691141037038</v>
      </c>
      <c r="AG28" s="31" t="s">
        <v>785</v>
      </c>
      <c r="AH28" s="31" t="s">
        <v>886</v>
      </c>
      <c r="AI28" s="46" t="s">
        <v>912</v>
      </c>
      <c r="AJ28" s="46" t="s">
        <v>897</v>
      </c>
    </row>
    <row r="29" spans="1:36" x14ac:dyDescent="0.25">
      <c r="A29" s="31" t="s">
        <v>355</v>
      </c>
      <c r="B29" s="46" t="s">
        <v>1045</v>
      </c>
      <c r="C29" s="37">
        <f>'A9 (Excess and Deficient DIT)'!O29</f>
        <v>14284537</v>
      </c>
      <c r="D29" s="37">
        <f t="shared" ref="D29:O29" si="14">C29+($P29/12)</f>
        <v>13986942.5</v>
      </c>
      <c r="E29" s="37">
        <f t="shared" si="14"/>
        <v>13689348</v>
      </c>
      <c r="F29" s="37">
        <f t="shared" si="14"/>
        <v>13391753.5</v>
      </c>
      <c r="G29" s="37">
        <f t="shared" si="14"/>
        <v>13094159</v>
      </c>
      <c r="H29" s="37">
        <f t="shared" si="14"/>
        <v>12796564.5</v>
      </c>
      <c r="I29" s="37">
        <f t="shared" si="14"/>
        <v>12498970</v>
      </c>
      <c r="J29" s="37">
        <f t="shared" si="14"/>
        <v>12201375.5</v>
      </c>
      <c r="K29" s="37">
        <f t="shared" si="14"/>
        <v>11903781</v>
      </c>
      <c r="L29" s="37">
        <f t="shared" si="14"/>
        <v>11606186.5</v>
      </c>
      <c r="M29" s="37">
        <f t="shared" si="14"/>
        <v>11308592</v>
      </c>
      <c r="N29" s="37">
        <f t="shared" si="14"/>
        <v>11010997.5</v>
      </c>
      <c r="O29" s="37">
        <f t="shared" si="14"/>
        <v>10713403</v>
      </c>
      <c r="P29" s="37">
        <v>-3571134</v>
      </c>
      <c r="Q29" s="115" t="s">
        <v>288</v>
      </c>
      <c r="R29" s="119">
        <f>IFERROR(VLOOKUP(Q29,'P12 (Allocation Factors)'!$D:$F,3,0),0)</f>
        <v>0.20910917396042414</v>
      </c>
      <c r="S29" s="41">
        <f t="shared" si="12"/>
        <v>2987027.732477115</v>
      </c>
      <c r="T29" s="41">
        <f t="shared" si="12"/>
        <v>2924797.9924069499</v>
      </c>
      <c r="U29" s="41">
        <f t="shared" si="12"/>
        <v>2862568.2523367843</v>
      </c>
      <c r="V29" s="41">
        <f t="shared" si="12"/>
        <v>2800338.5122666187</v>
      </c>
      <c r="W29" s="41">
        <f t="shared" si="12"/>
        <v>2738108.7721964535</v>
      </c>
      <c r="X29" s="41">
        <f t="shared" si="12"/>
        <v>2675879.0321262879</v>
      </c>
      <c r="Y29" s="41">
        <f t="shared" si="12"/>
        <v>2613649.2920561223</v>
      </c>
      <c r="Z29" s="41">
        <f t="shared" si="12"/>
        <v>2551419.5519859572</v>
      </c>
      <c r="AA29" s="41">
        <f t="shared" si="12"/>
        <v>2489189.8119157916</v>
      </c>
      <c r="AB29" s="41">
        <f t="shared" si="12"/>
        <v>2426960.071845626</v>
      </c>
      <c r="AC29" s="41">
        <f t="shared" si="12"/>
        <v>2364730.3317754609</v>
      </c>
      <c r="AD29" s="41">
        <f t="shared" si="12"/>
        <v>2302500.5917052953</v>
      </c>
      <c r="AE29" s="41">
        <f t="shared" si="12"/>
        <v>2240270.8516351297</v>
      </c>
      <c r="AF29" s="41">
        <f>AE29-S29</f>
        <v>-746756.88084198534</v>
      </c>
      <c r="AG29" s="31" t="s">
        <v>786</v>
      </c>
      <c r="AH29" s="31" t="s">
        <v>886</v>
      </c>
      <c r="AI29" s="46" t="s">
        <v>904</v>
      </c>
      <c r="AJ29" s="46" t="s">
        <v>902</v>
      </c>
    </row>
    <row r="30" spans="1:36" x14ac:dyDescent="0.25">
      <c r="A30" s="31" t="s">
        <v>356</v>
      </c>
      <c r="B30" s="46" t="s">
        <v>1046</v>
      </c>
      <c r="C30" s="37">
        <f>'A9 (Excess and Deficient DIT)'!O30</f>
        <v>21571509</v>
      </c>
      <c r="D30" s="37">
        <f t="shared" ref="D30" si="15">C30+($P30/12)</f>
        <v>21571509</v>
      </c>
      <c r="E30" s="37">
        <f t="shared" ref="E30" si="16">D30+($P30/12)</f>
        <v>21571509</v>
      </c>
      <c r="F30" s="37">
        <f t="shared" ref="F30" si="17">E30+($P30/12)</f>
        <v>21571509</v>
      </c>
      <c r="G30" s="37">
        <f t="shared" ref="G30" si="18">F30+($P30/12)</f>
        <v>21571509</v>
      </c>
      <c r="H30" s="37">
        <f t="shared" ref="H30" si="19">G30+($P30/12)</f>
        <v>21571509</v>
      </c>
      <c r="I30" s="37">
        <f t="shared" ref="I30" si="20">H30+($P30/12)</f>
        <v>21571509</v>
      </c>
      <c r="J30" s="37">
        <f t="shared" ref="J30" si="21">I30+($P30/12)</f>
        <v>21571509</v>
      </c>
      <c r="K30" s="37">
        <f t="shared" ref="K30" si="22">J30+($P30/12)</f>
        <v>21571509</v>
      </c>
      <c r="L30" s="37">
        <f t="shared" ref="L30" si="23">K30+($P30/12)</f>
        <v>21571509</v>
      </c>
      <c r="M30" s="37">
        <f t="shared" ref="M30" si="24">L30+($P30/12)</f>
        <v>21571509</v>
      </c>
      <c r="N30" s="37">
        <f t="shared" ref="N30" si="25">M30+($P30/12)</f>
        <v>21571509</v>
      </c>
      <c r="O30" s="37">
        <f t="shared" ref="O30" si="26">N30+($P30/12)</f>
        <v>21571509</v>
      </c>
      <c r="P30" s="37">
        <v>0</v>
      </c>
      <c r="Q30" s="115" t="s">
        <v>29</v>
      </c>
      <c r="R30" s="119">
        <f>IFERROR(VLOOKUP(Q30,'P12 (Allocation Factors)'!$D:$F,3,0),0)</f>
        <v>0</v>
      </c>
      <c r="S30" s="219">
        <f t="shared" ref="S30" si="27">C30*$R30</f>
        <v>0</v>
      </c>
      <c r="T30" s="219">
        <f t="shared" ref="T30" si="28">D30*$R30</f>
        <v>0</v>
      </c>
      <c r="U30" s="219">
        <f t="shared" ref="U30" si="29">E30*$R30</f>
        <v>0</v>
      </c>
      <c r="V30" s="219">
        <f t="shared" ref="V30" si="30">F30*$R30</f>
        <v>0</v>
      </c>
      <c r="W30" s="219">
        <f t="shared" ref="W30" si="31">G30*$R30</f>
        <v>0</v>
      </c>
      <c r="X30" s="219">
        <f t="shared" ref="X30" si="32">H30*$R30</f>
        <v>0</v>
      </c>
      <c r="Y30" s="219">
        <f t="shared" ref="Y30" si="33">I30*$R30</f>
        <v>0</v>
      </c>
      <c r="Z30" s="219">
        <f t="shared" ref="Z30" si="34">J30*$R30</f>
        <v>0</v>
      </c>
      <c r="AA30" s="219">
        <f t="shared" ref="AA30" si="35">K30*$R30</f>
        <v>0</v>
      </c>
      <c r="AB30" s="219">
        <f t="shared" ref="AB30" si="36">L30*$R30</f>
        <v>0</v>
      </c>
      <c r="AC30" s="219">
        <f t="shared" ref="AC30" si="37">M30*$R30</f>
        <v>0</v>
      </c>
      <c r="AD30" s="219">
        <f t="shared" ref="AD30" si="38">N30*$R30</f>
        <v>0</v>
      </c>
      <c r="AE30" s="219">
        <f t="shared" ref="AE30" si="39">O30*$R30</f>
        <v>0</v>
      </c>
      <c r="AF30" s="219">
        <f>AE30-S30</f>
        <v>0</v>
      </c>
      <c r="AG30" s="31" t="s">
        <v>786</v>
      </c>
      <c r="AH30" s="31" t="s">
        <v>886</v>
      </c>
      <c r="AI30" s="46" t="s">
        <v>904</v>
      </c>
      <c r="AJ30" s="46" t="s">
        <v>901</v>
      </c>
    </row>
    <row r="31" spans="1:36" x14ac:dyDescent="0.25">
      <c r="A31" s="31" t="s">
        <v>511</v>
      </c>
      <c r="B31" s="46" t="s">
        <v>999</v>
      </c>
      <c r="C31" s="37">
        <f>'A9 (Excess and Deficient DIT)'!O31</f>
        <v>19238409</v>
      </c>
      <c r="D31" s="37">
        <f t="shared" ref="D31:O31" si="40">C31+($P31/12)</f>
        <v>19133240.666666668</v>
      </c>
      <c r="E31" s="37">
        <f t="shared" si="40"/>
        <v>19028072.333333336</v>
      </c>
      <c r="F31" s="37">
        <f t="shared" si="40"/>
        <v>18922904.000000004</v>
      </c>
      <c r="G31" s="37">
        <f t="shared" si="40"/>
        <v>18817735.666666672</v>
      </c>
      <c r="H31" s="37">
        <f t="shared" si="40"/>
        <v>18712567.33333334</v>
      </c>
      <c r="I31" s="37">
        <f t="shared" si="40"/>
        <v>18607399.000000007</v>
      </c>
      <c r="J31" s="37">
        <f t="shared" si="40"/>
        <v>18502230.666666675</v>
      </c>
      <c r="K31" s="37">
        <f t="shared" si="40"/>
        <v>18397062.333333343</v>
      </c>
      <c r="L31" s="37">
        <f t="shared" si="40"/>
        <v>18291894.000000011</v>
      </c>
      <c r="M31" s="37">
        <f t="shared" si="40"/>
        <v>18186725.666666679</v>
      </c>
      <c r="N31" s="37">
        <f t="shared" si="40"/>
        <v>18081557.333333347</v>
      </c>
      <c r="O31" s="37">
        <f t="shared" si="40"/>
        <v>17976389.000000015</v>
      </c>
      <c r="P31" s="37">
        <v>-1262020</v>
      </c>
      <c r="Q31" s="115" t="s">
        <v>333</v>
      </c>
      <c r="R31" s="119">
        <f>IFERROR(VLOOKUP(Q31,'P12 (Allocation Factors)'!$D:$F,3,0),0)</f>
        <v>0.13393681565544452</v>
      </c>
      <c r="S31" s="41">
        <f t="shared" si="12"/>
        <v>2576731.2397370446</v>
      </c>
      <c r="T31" s="41">
        <f t="shared" si="12"/>
        <v>2562645.3280625879</v>
      </c>
      <c r="U31" s="41">
        <f t="shared" si="12"/>
        <v>2548559.4163881312</v>
      </c>
      <c r="V31" s="41">
        <f t="shared" si="12"/>
        <v>2534473.5047136741</v>
      </c>
      <c r="W31" s="41">
        <f t="shared" si="12"/>
        <v>2520387.5930392174</v>
      </c>
      <c r="X31" s="41">
        <f t="shared" si="12"/>
        <v>2506301.6813647607</v>
      </c>
      <c r="Y31" s="41">
        <f t="shared" si="12"/>
        <v>2492215.7696903036</v>
      </c>
      <c r="Z31" s="41">
        <f t="shared" si="12"/>
        <v>2478129.8580158469</v>
      </c>
      <c r="AA31" s="41">
        <f t="shared" si="12"/>
        <v>2464043.9463413898</v>
      </c>
      <c r="AB31" s="41">
        <f t="shared" si="12"/>
        <v>2449958.0346669331</v>
      </c>
      <c r="AC31" s="41">
        <f t="shared" si="12"/>
        <v>2435872.1229924764</v>
      </c>
      <c r="AD31" s="41">
        <f t="shared" si="12"/>
        <v>2421786.2113180193</v>
      </c>
      <c r="AE31" s="41">
        <f t="shared" si="12"/>
        <v>2407700.2996435626</v>
      </c>
      <c r="AF31" s="41">
        <f t="shared" ref="AF31:AF32" si="41">AE31-S31</f>
        <v>-169030.94009348191</v>
      </c>
      <c r="AG31" s="31" t="s">
        <v>785</v>
      </c>
      <c r="AH31" s="31" t="s">
        <v>886</v>
      </c>
      <c r="AI31" s="46" t="s">
        <v>903</v>
      </c>
      <c r="AJ31" s="46" t="s">
        <v>897</v>
      </c>
    </row>
    <row r="32" spans="1:36" x14ac:dyDescent="0.25">
      <c r="A32" s="100" t="s">
        <v>516</v>
      </c>
      <c r="B32" s="48" t="s">
        <v>357</v>
      </c>
      <c r="C32" s="20">
        <v>0</v>
      </c>
      <c r="D32" s="37">
        <v>0</v>
      </c>
      <c r="E32" s="37">
        <v>0</v>
      </c>
      <c r="F32" s="37">
        <v>0</v>
      </c>
      <c r="G32" s="37">
        <v>0</v>
      </c>
      <c r="H32" s="37">
        <v>0</v>
      </c>
      <c r="I32" s="37">
        <v>0</v>
      </c>
      <c r="J32" s="37">
        <v>0</v>
      </c>
      <c r="K32" s="37">
        <v>0</v>
      </c>
      <c r="L32" s="37">
        <v>0</v>
      </c>
      <c r="M32" s="37">
        <v>0</v>
      </c>
      <c r="N32" s="37">
        <v>0</v>
      </c>
      <c r="O32" s="37">
        <v>0</v>
      </c>
      <c r="P32" s="37">
        <v>0</v>
      </c>
      <c r="Q32" s="115" t="s">
        <v>357</v>
      </c>
      <c r="R32" s="119">
        <f>IFERROR(VLOOKUP(Q32,'P12 (Allocation Factors)'!$D:$F,3,0),0)</f>
        <v>0</v>
      </c>
      <c r="S32" s="41">
        <f t="shared" si="12"/>
        <v>0</v>
      </c>
      <c r="T32" s="41">
        <f t="shared" si="12"/>
        <v>0</v>
      </c>
      <c r="U32" s="41">
        <f t="shared" si="12"/>
        <v>0</v>
      </c>
      <c r="V32" s="41">
        <f t="shared" si="12"/>
        <v>0</v>
      </c>
      <c r="W32" s="41">
        <f t="shared" si="12"/>
        <v>0</v>
      </c>
      <c r="X32" s="41">
        <f t="shared" si="12"/>
        <v>0</v>
      </c>
      <c r="Y32" s="41">
        <f t="shared" si="12"/>
        <v>0</v>
      </c>
      <c r="Z32" s="41">
        <f t="shared" si="12"/>
        <v>0</v>
      </c>
      <c r="AA32" s="41">
        <f t="shared" si="12"/>
        <v>0</v>
      </c>
      <c r="AB32" s="41">
        <f t="shared" si="12"/>
        <v>0</v>
      </c>
      <c r="AC32" s="41">
        <f t="shared" si="12"/>
        <v>0</v>
      </c>
      <c r="AD32" s="41">
        <f t="shared" si="12"/>
        <v>0</v>
      </c>
      <c r="AE32" s="41">
        <f t="shared" si="12"/>
        <v>0</v>
      </c>
      <c r="AF32" s="41">
        <f t="shared" si="41"/>
        <v>0</v>
      </c>
      <c r="AG32" s="31" t="s">
        <v>357</v>
      </c>
      <c r="AH32" s="31"/>
      <c r="AI32" s="46" t="s">
        <v>357</v>
      </c>
      <c r="AJ32" s="46" t="s">
        <v>357</v>
      </c>
    </row>
    <row r="33" spans="1:36" s="6" customFormat="1" x14ac:dyDescent="0.25">
      <c r="A33" s="88">
        <v>6</v>
      </c>
      <c r="B33" s="89" t="str">
        <f>"Total Deficient Deferred Income Taxes Acct No. 182.3 (Sum Lns. "&amp;A28&amp;" through "&amp;A32&amp;")"</f>
        <v>Total Deficient Deferred Income Taxes Acct No. 182.3 (Sum Lns. 5a through 5zz)</v>
      </c>
      <c r="C33" s="90">
        <f t="shared" ref="C33:P33" si="42">SUM(C28:C32)</f>
        <v>58226679</v>
      </c>
      <c r="D33" s="90">
        <f t="shared" si="42"/>
        <v>57820528.083333343</v>
      </c>
      <c r="E33" s="90">
        <f t="shared" si="42"/>
        <v>57414377.166666664</v>
      </c>
      <c r="F33" s="90">
        <f t="shared" si="42"/>
        <v>57008226.25</v>
      </c>
      <c r="G33" s="90">
        <f t="shared" si="42"/>
        <v>56602075.333333336</v>
      </c>
      <c r="H33" s="90">
        <f t="shared" si="42"/>
        <v>56195924.416666672</v>
      </c>
      <c r="I33" s="90">
        <f t="shared" si="42"/>
        <v>55789773.500000007</v>
      </c>
      <c r="J33" s="90">
        <f t="shared" si="42"/>
        <v>55383622.583333343</v>
      </c>
      <c r="K33" s="90">
        <f t="shared" si="42"/>
        <v>54977471.666666672</v>
      </c>
      <c r="L33" s="90">
        <f t="shared" si="42"/>
        <v>54571320.750000015</v>
      </c>
      <c r="M33" s="90">
        <f t="shared" si="42"/>
        <v>54165169.833333343</v>
      </c>
      <c r="N33" s="90">
        <f t="shared" si="42"/>
        <v>53759018.916666672</v>
      </c>
      <c r="O33" s="90">
        <f t="shared" si="42"/>
        <v>53352868.000000015</v>
      </c>
      <c r="P33" s="90">
        <f t="shared" si="42"/>
        <v>-4873811</v>
      </c>
      <c r="Q33" s="90"/>
      <c r="R33" s="90"/>
      <c r="S33" s="90">
        <f t="shared" ref="S33:AF33" si="43">SUM(S28:S32)</f>
        <v>5983279.080693718</v>
      </c>
      <c r="T33" s="90">
        <f t="shared" si="43"/>
        <v>5906509.6398562547</v>
      </c>
      <c r="U33" s="90">
        <f t="shared" si="43"/>
        <v>5829740.1990187904</v>
      </c>
      <c r="V33" s="90">
        <f t="shared" si="43"/>
        <v>5752970.7581813261</v>
      </c>
      <c r="W33" s="90">
        <f t="shared" si="43"/>
        <v>5676201.3173438627</v>
      </c>
      <c r="X33" s="90">
        <f t="shared" si="43"/>
        <v>5599431.8765063975</v>
      </c>
      <c r="Y33" s="90">
        <f t="shared" si="43"/>
        <v>5522662.4356689332</v>
      </c>
      <c r="Z33" s="90">
        <f t="shared" si="43"/>
        <v>5445892.9948314689</v>
      </c>
      <c r="AA33" s="90">
        <f t="shared" si="43"/>
        <v>5369123.5539940046</v>
      </c>
      <c r="AB33" s="90">
        <f t="shared" si="43"/>
        <v>5292354.1131565403</v>
      </c>
      <c r="AC33" s="90">
        <f t="shared" si="43"/>
        <v>5215584.672319077</v>
      </c>
      <c r="AD33" s="90">
        <f t="shared" si="43"/>
        <v>5138815.2314816117</v>
      </c>
      <c r="AE33" s="90">
        <f t="shared" si="43"/>
        <v>5062045.7906441484</v>
      </c>
      <c r="AF33" s="90">
        <f t="shared" si="43"/>
        <v>-921233.29004957096</v>
      </c>
      <c r="AG33" s="90"/>
      <c r="AH33" s="90"/>
      <c r="AI33" s="90"/>
      <c r="AJ33" s="90"/>
    </row>
    <row r="34" spans="1:36" s="6" customFormat="1" x14ac:dyDescent="0.25">
      <c r="A34" s="16"/>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row>
    <row r="35" spans="1:36" s="127" customFormat="1" x14ac:dyDescent="0.25">
      <c r="A35" s="126">
        <f>A33+1</f>
        <v>7</v>
      </c>
      <c r="B35" s="127" t="s">
        <v>890</v>
      </c>
      <c r="C35" s="128">
        <f t="shared" ref="C35:P35" si="44">SUMIF($AG$28:$AG$32,"Yes",C$28:C$32)</f>
        <v>22370633</v>
      </c>
      <c r="D35" s="128">
        <f t="shared" si="44"/>
        <v>22262076.583333336</v>
      </c>
      <c r="E35" s="128">
        <f t="shared" si="44"/>
        <v>22153520.166666668</v>
      </c>
      <c r="F35" s="128">
        <f t="shared" si="44"/>
        <v>22044963.750000004</v>
      </c>
      <c r="G35" s="128">
        <f t="shared" si="44"/>
        <v>21936407.333333336</v>
      </c>
      <c r="H35" s="128">
        <f t="shared" si="44"/>
        <v>21827850.916666672</v>
      </c>
      <c r="I35" s="128">
        <f t="shared" si="44"/>
        <v>21719294.500000007</v>
      </c>
      <c r="J35" s="128">
        <f t="shared" si="44"/>
        <v>21610738.08333334</v>
      </c>
      <c r="K35" s="128">
        <f t="shared" si="44"/>
        <v>21502181.666666675</v>
      </c>
      <c r="L35" s="128">
        <f t="shared" si="44"/>
        <v>21393625.250000011</v>
      </c>
      <c r="M35" s="128">
        <f t="shared" si="44"/>
        <v>21285068.833333343</v>
      </c>
      <c r="N35" s="128">
        <f t="shared" si="44"/>
        <v>21176512.416666679</v>
      </c>
      <c r="O35" s="128">
        <f t="shared" si="44"/>
        <v>21067956.000000015</v>
      </c>
      <c r="P35" s="128">
        <f t="shared" si="44"/>
        <v>-1302677</v>
      </c>
      <c r="Q35" s="128"/>
      <c r="R35" s="128"/>
      <c r="S35" s="128">
        <f t="shared" ref="S35:AF35" si="45">SUMIF($AG$28:$AG$32,"Yes",S$28:S$32)</f>
        <v>2996251.3482166035</v>
      </c>
      <c r="T35" s="128">
        <f t="shared" si="45"/>
        <v>2981711.6474493048</v>
      </c>
      <c r="U35" s="128">
        <f t="shared" si="45"/>
        <v>2967171.9466820061</v>
      </c>
      <c r="V35" s="128">
        <f t="shared" si="45"/>
        <v>2952632.245914707</v>
      </c>
      <c r="W35" s="128">
        <f t="shared" si="45"/>
        <v>2938092.5451474087</v>
      </c>
      <c r="X35" s="128">
        <f t="shared" si="45"/>
        <v>2923552.84438011</v>
      </c>
      <c r="Y35" s="128">
        <f t="shared" si="45"/>
        <v>2909013.1436128109</v>
      </c>
      <c r="Z35" s="128">
        <f t="shared" si="45"/>
        <v>2894473.4428455122</v>
      </c>
      <c r="AA35" s="128">
        <f t="shared" si="45"/>
        <v>2879933.742078213</v>
      </c>
      <c r="AB35" s="128">
        <f t="shared" si="45"/>
        <v>2865394.0413109143</v>
      </c>
      <c r="AC35" s="128">
        <f t="shared" si="45"/>
        <v>2850854.3405436156</v>
      </c>
      <c r="AD35" s="128">
        <f t="shared" si="45"/>
        <v>2836314.6397763165</v>
      </c>
      <c r="AE35" s="128">
        <f t="shared" si="45"/>
        <v>2821774.9390090182</v>
      </c>
      <c r="AF35" s="128">
        <f t="shared" si="45"/>
        <v>-174476.40920758562</v>
      </c>
      <c r="AG35" s="128"/>
      <c r="AH35" s="128"/>
      <c r="AI35" s="128"/>
      <c r="AJ35" s="128"/>
    </row>
    <row r="36" spans="1:36" s="127" customFormat="1" x14ac:dyDescent="0.25">
      <c r="A36" s="126"/>
      <c r="C36" s="128"/>
      <c r="D36" s="128"/>
      <c r="E36" s="128"/>
      <c r="F36" s="128"/>
      <c r="G36" s="128"/>
      <c r="H36" s="128"/>
      <c r="I36" s="128"/>
      <c r="J36" s="128"/>
      <c r="K36" s="128"/>
      <c r="L36" s="128"/>
      <c r="M36" s="128"/>
      <c r="N36" s="128"/>
      <c r="O36" s="128"/>
      <c r="P36" s="128"/>
      <c r="Q36" s="128"/>
      <c r="R36" s="128"/>
      <c r="S36" s="128"/>
      <c r="T36" s="128">
        <f>T35-S35</f>
        <v>-14539.700767298695</v>
      </c>
      <c r="U36" s="128">
        <f t="shared" ref="U36:AE36" si="46">U35-T35</f>
        <v>-14539.700767298695</v>
      </c>
      <c r="V36" s="128">
        <f t="shared" si="46"/>
        <v>-14539.70076729916</v>
      </c>
      <c r="W36" s="128">
        <f t="shared" si="46"/>
        <v>-14539.700767298229</v>
      </c>
      <c r="X36" s="128">
        <f t="shared" si="46"/>
        <v>-14539.700767298695</v>
      </c>
      <c r="Y36" s="128">
        <f t="shared" si="46"/>
        <v>-14539.70076729916</v>
      </c>
      <c r="Z36" s="128">
        <f t="shared" si="46"/>
        <v>-14539.700767298695</v>
      </c>
      <c r="AA36" s="128">
        <f t="shared" si="46"/>
        <v>-14539.70076729916</v>
      </c>
      <c r="AB36" s="128">
        <f t="shared" si="46"/>
        <v>-14539.700767298695</v>
      </c>
      <c r="AC36" s="128">
        <f t="shared" si="46"/>
        <v>-14539.700767298695</v>
      </c>
      <c r="AD36" s="128">
        <f t="shared" si="46"/>
        <v>-14539.70076729916</v>
      </c>
      <c r="AE36" s="128">
        <f t="shared" si="46"/>
        <v>-14539.700767298229</v>
      </c>
      <c r="AF36" s="128"/>
      <c r="AG36" s="128"/>
      <c r="AH36" s="128"/>
      <c r="AI36" s="128"/>
      <c r="AJ36" s="128"/>
    </row>
    <row r="37" spans="1:36" s="127" customFormat="1" x14ac:dyDescent="0.25">
      <c r="A37" s="126">
        <f>A35+1</f>
        <v>8</v>
      </c>
      <c r="B37" s="127" t="s">
        <v>891</v>
      </c>
      <c r="C37" s="128">
        <f t="shared" ref="C37:P37" si="47">SUMIF($AG$28:$AG$32,"No",C$28:C$32)</f>
        <v>35856046</v>
      </c>
      <c r="D37" s="128">
        <f t="shared" si="47"/>
        <v>35558451.5</v>
      </c>
      <c r="E37" s="128">
        <f t="shared" si="47"/>
        <v>35260857</v>
      </c>
      <c r="F37" s="128">
        <f t="shared" si="47"/>
        <v>34963262.5</v>
      </c>
      <c r="G37" s="128">
        <f t="shared" si="47"/>
        <v>34665668</v>
      </c>
      <c r="H37" s="128">
        <f t="shared" si="47"/>
        <v>34368073.5</v>
      </c>
      <c r="I37" s="128">
        <f t="shared" si="47"/>
        <v>34070479</v>
      </c>
      <c r="J37" s="128">
        <f t="shared" si="47"/>
        <v>33772884.5</v>
      </c>
      <c r="K37" s="128">
        <f t="shared" si="47"/>
        <v>33475290</v>
      </c>
      <c r="L37" s="128">
        <f t="shared" si="47"/>
        <v>33177695.5</v>
      </c>
      <c r="M37" s="128">
        <f t="shared" si="47"/>
        <v>32880101</v>
      </c>
      <c r="N37" s="128">
        <f t="shared" si="47"/>
        <v>32582506.5</v>
      </c>
      <c r="O37" s="128">
        <f t="shared" si="47"/>
        <v>32284912</v>
      </c>
      <c r="P37" s="128">
        <f t="shared" si="47"/>
        <v>-3571134</v>
      </c>
      <c r="Q37" s="128"/>
      <c r="R37" s="128"/>
      <c r="S37" s="128">
        <f t="shared" ref="S37:AF37" si="48">SUMIF($AG$28:$AG$32,"No",S$28:S$32)</f>
        <v>2987027.732477115</v>
      </c>
      <c r="T37" s="128">
        <f t="shared" si="48"/>
        <v>2924797.9924069499</v>
      </c>
      <c r="U37" s="128">
        <f t="shared" si="48"/>
        <v>2862568.2523367843</v>
      </c>
      <c r="V37" s="128">
        <f t="shared" si="48"/>
        <v>2800338.5122666187</v>
      </c>
      <c r="W37" s="128">
        <f t="shared" si="48"/>
        <v>2738108.7721964535</v>
      </c>
      <c r="X37" s="128">
        <f t="shared" si="48"/>
        <v>2675879.0321262879</v>
      </c>
      <c r="Y37" s="128">
        <f t="shared" si="48"/>
        <v>2613649.2920561223</v>
      </c>
      <c r="Z37" s="128">
        <f t="shared" si="48"/>
        <v>2551419.5519859572</v>
      </c>
      <c r="AA37" s="128">
        <f t="shared" si="48"/>
        <v>2489189.8119157916</v>
      </c>
      <c r="AB37" s="128">
        <f t="shared" si="48"/>
        <v>2426960.071845626</v>
      </c>
      <c r="AC37" s="128">
        <f t="shared" si="48"/>
        <v>2364730.3317754609</v>
      </c>
      <c r="AD37" s="128">
        <f t="shared" si="48"/>
        <v>2302500.5917052953</v>
      </c>
      <c r="AE37" s="128">
        <f t="shared" si="48"/>
        <v>2240270.8516351297</v>
      </c>
      <c r="AF37" s="128">
        <f t="shared" si="48"/>
        <v>-746756.88084198534</v>
      </c>
      <c r="AG37" s="128"/>
      <c r="AH37" s="128"/>
      <c r="AI37" s="128"/>
      <c r="AJ37" s="128"/>
    </row>
    <row r="39" spans="1:36" s="6" customFormat="1" ht="16.5" thickBot="1" x14ac:dyDescent="0.3">
      <c r="A39" s="56">
        <f>A37+1</f>
        <v>9</v>
      </c>
      <c r="B39" s="57" t="str">
        <f>"Total Excess and Deficient Deferred Income Taxes (Lns. "&amp;A21&amp;" + "&amp;A33&amp;")"</f>
        <v>Total Excess and Deficient Deferred Income Taxes (Lns. 2 + 6)</v>
      </c>
      <c r="C39" s="29">
        <f>C21+C33</f>
        <v>-198962549</v>
      </c>
      <c r="D39" s="29">
        <f t="shared" ref="D39:O39" si="49">D21+D33</f>
        <v>-198371965</v>
      </c>
      <c r="E39" s="29">
        <f t="shared" si="49"/>
        <v>-197781381</v>
      </c>
      <c r="F39" s="29">
        <f t="shared" si="49"/>
        <v>-197190797</v>
      </c>
      <c r="G39" s="29">
        <f t="shared" si="49"/>
        <v>-196600213</v>
      </c>
      <c r="H39" s="29">
        <f t="shared" si="49"/>
        <v>-196009629</v>
      </c>
      <c r="I39" s="29">
        <f t="shared" si="49"/>
        <v>-195419045</v>
      </c>
      <c r="J39" s="29">
        <f t="shared" si="49"/>
        <v>-194828461</v>
      </c>
      <c r="K39" s="29">
        <f t="shared" si="49"/>
        <v>-194237877</v>
      </c>
      <c r="L39" s="29">
        <f t="shared" si="49"/>
        <v>-193647293</v>
      </c>
      <c r="M39" s="29">
        <f t="shared" si="49"/>
        <v>-193056709</v>
      </c>
      <c r="N39" s="29">
        <f t="shared" si="49"/>
        <v>-192466125</v>
      </c>
      <c r="O39" s="29">
        <f t="shared" si="49"/>
        <v>-191875541</v>
      </c>
      <c r="P39" s="29">
        <f t="shared" ref="P39" si="50">P21+P33</f>
        <v>7087008</v>
      </c>
      <c r="Q39" s="29"/>
      <c r="R39" s="29"/>
      <c r="S39" s="29">
        <f>S21+S33</f>
        <v>-28463827.138508368</v>
      </c>
      <c r="T39" s="29">
        <f t="shared" ref="T39:AE39" si="51">T21+T33</f>
        <v>-28407097.078554906</v>
      </c>
      <c r="U39" s="29">
        <f t="shared" si="51"/>
        <v>-28350367.01860144</v>
      </c>
      <c r="V39" s="29">
        <f t="shared" si="51"/>
        <v>-28293636.958647981</v>
      </c>
      <c r="W39" s="29">
        <f t="shared" si="51"/>
        <v>-28236906.898694515</v>
      </c>
      <c r="X39" s="29">
        <f t="shared" si="51"/>
        <v>-28180176.838741057</v>
      </c>
      <c r="Y39" s="29">
        <f t="shared" si="51"/>
        <v>-28123446.778787587</v>
      </c>
      <c r="Z39" s="29">
        <f t="shared" si="51"/>
        <v>-28066716.718834121</v>
      </c>
      <c r="AA39" s="29">
        <f t="shared" si="51"/>
        <v>-28009986.658880662</v>
      </c>
      <c r="AB39" s="29">
        <f t="shared" si="51"/>
        <v>-27953256.598927192</v>
      </c>
      <c r="AC39" s="29">
        <f t="shared" si="51"/>
        <v>-27896526.538973734</v>
      </c>
      <c r="AD39" s="29">
        <f t="shared" si="51"/>
        <v>-27839796.479020264</v>
      </c>
      <c r="AE39" s="29">
        <f t="shared" si="51"/>
        <v>-27783066.419066802</v>
      </c>
      <c r="AF39" s="29">
        <f>AF21+AF33</f>
        <v>680760.71944156999</v>
      </c>
      <c r="AG39" s="29"/>
      <c r="AH39" s="29"/>
      <c r="AI39" s="29"/>
      <c r="AJ39" s="29"/>
    </row>
    <row r="40" spans="1:36" s="6" customFormat="1" ht="16.5" thickTop="1" x14ac:dyDescent="0.25">
      <c r="A40" s="16"/>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row>
    <row r="41" spans="1:36" s="127" customFormat="1" x14ac:dyDescent="0.25">
      <c r="A41" s="126">
        <f>A39+1</f>
        <v>10</v>
      </c>
      <c r="B41" s="127" t="s">
        <v>806</v>
      </c>
      <c r="C41" s="128">
        <f>C23+C35</f>
        <v>-234818595</v>
      </c>
      <c r="D41" s="128">
        <f t="shared" ref="D41:O41" si="52">D23+D35</f>
        <v>-233930416.5</v>
      </c>
      <c r="E41" s="128">
        <f t="shared" si="52"/>
        <v>-233042238</v>
      </c>
      <c r="F41" s="128">
        <f t="shared" si="52"/>
        <v>-232154059.5</v>
      </c>
      <c r="G41" s="128">
        <f t="shared" si="52"/>
        <v>-231265881</v>
      </c>
      <c r="H41" s="128">
        <f t="shared" si="52"/>
        <v>-230377702.5</v>
      </c>
      <c r="I41" s="128">
        <f t="shared" si="52"/>
        <v>-229489524</v>
      </c>
      <c r="J41" s="128">
        <f t="shared" si="52"/>
        <v>-228601345.5</v>
      </c>
      <c r="K41" s="128">
        <f t="shared" si="52"/>
        <v>-227713166.99999997</v>
      </c>
      <c r="L41" s="128">
        <f t="shared" si="52"/>
        <v>-226824988.5</v>
      </c>
      <c r="M41" s="128">
        <f t="shared" si="52"/>
        <v>-225936810</v>
      </c>
      <c r="N41" s="128">
        <f t="shared" si="52"/>
        <v>-225048631.49999997</v>
      </c>
      <c r="O41" s="128">
        <f t="shared" si="52"/>
        <v>-224160453</v>
      </c>
      <c r="P41" s="128">
        <f t="shared" ref="P41" si="53">P23+P35</f>
        <v>10658142</v>
      </c>
      <c r="Q41" s="128"/>
      <c r="R41" s="128"/>
      <c r="S41" s="128">
        <f>S23+S35</f>
        <v>-31450854.870985482</v>
      </c>
      <c r="T41" s="128">
        <f t="shared" ref="T41:AC41" si="54">T23+T35</f>
        <v>-31331895.070961859</v>
      </c>
      <c r="U41" s="128">
        <f t="shared" si="54"/>
        <v>-31212935.270938225</v>
      </c>
      <c r="V41" s="128">
        <f t="shared" si="54"/>
        <v>-31093975.470914602</v>
      </c>
      <c r="W41" s="128">
        <f t="shared" si="54"/>
        <v>-30975015.670890968</v>
      </c>
      <c r="X41" s="128">
        <f t="shared" si="54"/>
        <v>-30856055.870867342</v>
      </c>
      <c r="Y41" s="128">
        <f t="shared" si="54"/>
        <v>-30737096.070843711</v>
      </c>
      <c r="Z41" s="128">
        <f t="shared" si="54"/>
        <v>-30618136.270820078</v>
      </c>
      <c r="AA41" s="128">
        <f t="shared" si="54"/>
        <v>-30499176.470796451</v>
      </c>
      <c r="AB41" s="128">
        <f t="shared" si="54"/>
        <v>-30380216.670772821</v>
      </c>
      <c r="AC41" s="128">
        <f t="shared" si="54"/>
        <v>-30261256.870749194</v>
      </c>
      <c r="AD41" s="128">
        <f>AD23+AD35</f>
        <v>-30142297.07072556</v>
      </c>
      <c r="AE41" s="128">
        <f>AE23+AE35</f>
        <v>-30023337.27070193</v>
      </c>
      <c r="AF41" s="128">
        <f>AF23+AF35</f>
        <v>1427517.6002835552</v>
      </c>
      <c r="AG41" s="128"/>
      <c r="AH41" s="128"/>
      <c r="AI41" s="128"/>
      <c r="AJ41" s="128"/>
    </row>
    <row r="42" spans="1:36" s="127" customFormat="1" ht="15.75" hidden="1" customHeight="1" x14ac:dyDescent="0.25">
      <c r="A42" s="126"/>
      <c r="C42" s="128"/>
      <c r="D42" s="128"/>
      <c r="E42" s="128"/>
      <c r="F42" s="128"/>
      <c r="G42" s="128"/>
      <c r="H42" s="128"/>
      <c r="I42" s="128"/>
      <c r="J42" s="128"/>
      <c r="K42" s="128"/>
      <c r="L42" s="128"/>
      <c r="M42" s="128"/>
      <c r="N42" s="128"/>
      <c r="O42" s="128"/>
      <c r="P42" s="128"/>
      <c r="Q42" s="128"/>
      <c r="R42" s="128"/>
      <c r="S42" s="128"/>
      <c r="T42" s="128">
        <f>T41-S41</f>
        <v>118959.80002362281</v>
      </c>
      <c r="U42" s="128">
        <f t="shared" ref="U42:AF42" si="55">U41-T41</f>
        <v>118959.80002363399</v>
      </c>
      <c r="V42" s="128">
        <f t="shared" si="55"/>
        <v>118959.80002362281</v>
      </c>
      <c r="W42" s="128">
        <f t="shared" si="55"/>
        <v>118959.80002363399</v>
      </c>
      <c r="X42" s="128">
        <f t="shared" si="55"/>
        <v>118959.80002362654</v>
      </c>
      <c r="Y42" s="128">
        <f t="shared" si="55"/>
        <v>118959.80002363026</v>
      </c>
      <c r="Z42" s="128">
        <f t="shared" si="55"/>
        <v>118959.80002363399</v>
      </c>
      <c r="AA42" s="128">
        <f t="shared" si="55"/>
        <v>118959.80002362654</v>
      </c>
      <c r="AB42" s="128">
        <f t="shared" si="55"/>
        <v>118959.80002363026</v>
      </c>
      <c r="AC42" s="128">
        <f t="shared" si="55"/>
        <v>118959.80002362654</v>
      </c>
      <c r="AD42" s="128">
        <f t="shared" si="55"/>
        <v>118959.80002363399</v>
      </c>
      <c r="AE42" s="128">
        <f t="shared" si="55"/>
        <v>118959.80002363026</v>
      </c>
      <c r="AF42" s="128">
        <f t="shared" si="55"/>
        <v>31450854.870985486</v>
      </c>
      <c r="AG42" s="128"/>
      <c r="AH42" s="128"/>
      <c r="AI42" s="128"/>
      <c r="AJ42" s="128"/>
    </row>
    <row r="43" spans="1:36" s="217" customFormat="1" x14ac:dyDescent="0.25">
      <c r="A43" s="215">
        <f>A41+1</f>
        <v>11</v>
      </c>
      <c r="B43" s="217" t="s">
        <v>807</v>
      </c>
      <c r="C43" s="247">
        <f>+C25+C37</f>
        <v>35856046</v>
      </c>
      <c r="D43" s="247">
        <f t="shared" ref="D43:P43" si="56">+D25+D37</f>
        <v>35558451.5</v>
      </c>
      <c r="E43" s="247">
        <f t="shared" si="56"/>
        <v>35260857</v>
      </c>
      <c r="F43" s="247">
        <f t="shared" si="56"/>
        <v>34963262.5</v>
      </c>
      <c r="G43" s="247">
        <f t="shared" si="56"/>
        <v>34665668</v>
      </c>
      <c r="H43" s="247">
        <f t="shared" si="56"/>
        <v>34368073.5</v>
      </c>
      <c r="I43" s="247">
        <f t="shared" si="56"/>
        <v>34070479</v>
      </c>
      <c r="J43" s="247">
        <f t="shared" si="56"/>
        <v>33772884.5</v>
      </c>
      <c r="K43" s="247">
        <f t="shared" si="56"/>
        <v>33475290</v>
      </c>
      <c r="L43" s="247">
        <f t="shared" si="56"/>
        <v>33177695.5</v>
      </c>
      <c r="M43" s="247">
        <f t="shared" si="56"/>
        <v>32880101</v>
      </c>
      <c r="N43" s="247">
        <f t="shared" si="56"/>
        <v>32582506.5</v>
      </c>
      <c r="O43" s="247">
        <f t="shared" si="56"/>
        <v>32284912</v>
      </c>
      <c r="P43" s="247">
        <f t="shared" si="56"/>
        <v>-3571134</v>
      </c>
      <c r="Q43" s="247"/>
      <c r="R43" s="247"/>
      <c r="S43" s="247">
        <f t="shared" ref="S43:AE43" si="57">+S25+S37</f>
        <v>2987027.732477115</v>
      </c>
      <c r="T43" s="247">
        <f t="shared" si="57"/>
        <v>2924797.9924069499</v>
      </c>
      <c r="U43" s="247">
        <f t="shared" si="57"/>
        <v>2862568.2523367843</v>
      </c>
      <c r="V43" s="247">
        <f t="shared" si="57"/>
        <v>2800338.5122666187</v>
      </c>
      <c r="W43" s="247">
        <f t="shared" si="57"/>
        <v>2738108.7721964535</v>
      </c>
      <c r="X43" s="247">
        <f t="shared" si="57"/>
        <v>2675879.0321262879</v>
      </c>
      <c r="Y43" s="247">
        <f t="shared" si="57"/>
        <v>2613649.2920561223</v>
      </c>
      <c r="Z43" s="247">
        <f t="shared" si="57"/>
        <v>2551419.5519859572</v>
      </c>
      <c r="AA43" s="247">
        <f t="shared" si="57"/>
        <v>2489189.8119157916</v>
      </c>
      <c r="AB43" s="247">
        <f t="shared" si="57"/>
        <v>2426960.071845626</v>
      </c>
      <c r="AC43" s="247">
        <f t="shared" si="57"/>
        <v>2364730.3317754609</v>
      </c>
      <c r="AD43" s="247">
        <f t="shared" si="57"/>
        <v>2302500.5917052953</v>
      </c>
      <c r="AE43" s="247">
        <f t="shared" si="57"/>
        <v>2240270.8516351297</v>
      </c>
      <c r="AF43" s="247">
        <f>AF25+AF37</f>
        <v>-746756.88084198534</v>
      </c>
      <c r="AG43" s="247"/>
      <c r="AH43" s="247"/>
      <c r="AI43" s="247"/>
      <c r="AJ43" s="247"/>
    </row>
    <row r="44" spans="1:36" ht="5.25" customHeight="1" x14ac:dyDescent="0.25">
      <c r="A44" s="14"/>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row>
    <row r="45" spans="1:36" ht="5.25" customHeight="1" x14ac:dyDescent="0.25"/>
    <row r="46" spans="1:36" x14ac:dyDescent="0.25">
      <c r="A46" s="22" t="str">
        <f>note</f>
        <v>Notes and Sources:</v>
      </c>
    </row>
    <row r="47" spans="1:36" ht="65.25" customHeight="1" x14ac:dyDescent="0.25">
      <c r="A47" s="85">
        <v>1</v>
      </c>
      <c r="B47" s="87" t="str">
        <f>"Unless otherwise stated, source of shaded cells is company input/records. Lines "&amp;A13&amp;" through "&amp;A20&amp;" and "&amp;A28&amp;" through "&amp;A32&amp;" represent adjustable lines that may be expanded/compressed on an annual basis to provide for a sufficient breakout of excess and deficient deferred income tax items."</f>
        <v>Unless otherwise stated, source of shaded cells is company input/records. Lines 1a through 1zz and 5a through 5zz represent adjustable lines that may be expanded/compressed on an annual basis to provide for a sufficient breakout of excess and deficient deferred income tax items.</v>
      </c>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row>
    <row r="48" spans="1:36" ht="47.25" x14ac:dyDescent="0.25">
      <c r="A48" s="85">
        <v>2</v>
      </c>
      <c r="B48" s="87" t="str">
        <f>"Enter 'Yes' or 'No.' Only plant-related ADIT balances are subject to prorationing. Values on lines "&amp;A23&amp;", "&amp;A25&amp;", "&amp;A35&amp;", "&amp;A37&amp;", "&amp;A41&amp;", and "&amp;A43&amp;" will populate automatically based on the inputs to column "&amp;AG9&amp;"."</f>
        <v>Enter 'Yes' or 'No.' Only plant-related ADIT balances are subject to prorationing. Values on lines 3, 4, 7, 8, 10, and 11 will populate automatically based on the inputs to column [ee].</v>
      </c>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row>
    <row r="49" spans="1:36" ht="47.25" x14ac:dyDescent="0.25">
      <c r="A49" s="85">
        <v>3</v>
      </c>
      <c r="B49" s="87" t="str">
        <f>"Only network allocator codes listed on "&amp;'P12 (Allocation Factors)'!F1&amp;" may be inputed. Only deferred taxes related to rate base, construction, or other costs and revenues affecting jurisdictional cost-of-service may be included as rate base reductions/additions."</f>
        <v>Only network allocator codes listed on Worksheet P12 may be inputed. Only deferred taxes related to rate base, construction, or other costs and revenues affecting jurisdictional cost-of-service may be included as rate base reductions/additions.</v>
      </c>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row>
    <row r="50" spans="1:36" ht="31.5" x14ac:dyDescent="0.25">
      <c r="A50" s="85">
        <v>4</v>
      </c>
      <c r="B50" s="87" t="s">
        <v>905</v>
      </c>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row>
    <row r="51" spans="1:36" ht="5.25" customHeight="1" thickBot="1" x14ac:dyDescent="0.3">
      <c r="A51" s="2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row>
    <row r="52" spans="1:36" ht="5.25" customHeight="1" thickTop="1" x14ac:dyDescent="0.25"/>
  </sheetData>
  <mergeCells count="12">
    <mergeCell ref="AJ7:AJ8"/>
    <mergeCell ref="A7:A9"/>
    <mergeCell ref="B7:B8"/>
    <mergeCell ref="C7:J7"/>
    <mergeCell ref="K7:O7"/>
    <mergeCell ref="Q7:R7"/>
    <mergeCell ref="S7:Y7"/>
    <mergeCell ref="Z7:AE7"/>
    <mergeCell ref="AF7:AF8"/>
    <mergeCell ref="AG7:AG8"/>
    <mergeCell ref="AH7:AH8"/>
    <mergeCell ref="AI7:AI8"/>
  </mergeCells>
  <pageMargins left="0.7" right="0.7" top="0.75" bottom="0.75" header="0.3" footer="0.3"/>
  <pageSetup scale="54" fitToWidth="5" orientation="landscape" horizontalDpi="1200" verticalDpi="1200" r:id="rId1"/>
  <headerFooter>
    <oddFooter>&amp;L&amp;6{W0327924.2 }</oddFooter>
  </headerFooter>
  <colBreaks count="4" manualBreakCount="4">
    <brk id="9" max="1048575" man="1"/>
    <brk id="18" max="1048575" man="1"/>
    <brk id="25" max="1048575" man="1"/>
    <brk id="32"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E44"/>
  <sheetViews>
    <sheetView workbookViewId="0"/>
  </sheetViews>
  <sheetFormatPr defaultRowHeight="15.75" x14ac:dyDescent="0.25"/>
  <cols>
    <col min="1" max="1" width="4.25" style="1" customWidth="1"/>
    <col min="2" max="2" width="10.25" customWidth="1"/>
    <col min="3" max="3" width="59.75" customWidth="1"/>
    <col min="4" max="4" width="10.625" customWidth="1"/>
    <col min="5" max="5" width="10.75" customWidth="1"/>
    <col min="6" max="6" width="12.75" customWidth="1"/>
    <col min="7" max="7" width="10.625" customWidth="1"/>
    <col min="8" max="8" width="14.125" customWidth="1"/>
    <col min="9" max="9" width="14" customWidth="1"/>
    <col min="10" max="10" width="14.75" customWidth="1"/>
    <col min="11" max="11" width="14" customWidth="1"/>
    <col min="12" max="12" width="6.25" customWidth="1"/>
    <col min="14" max="14" width="15.25" customWidth="1"/>
    <col min="15" max="27" width="10.625" customWidth="1"/>
    <col min="28" max="29" width="15.25" customWidth="1"/>
    <col min="30" max="30" width="15.75" customWidth="1"/>
    <col min="31" max="31" width="28.75" customWidth="1"/>
  </cols>
  <sheetData>
    <row r="1" spans="1:31" x14ac:dyDescent="0.25">
      <c r="A1" s="6" t="str">
        <f>epe</f>
        <v>El Paso Electric Company</v>
      </c>
      <c r="G1" s="8" t="str">
        <f>$AE$1</f>
        <v>Worksheet P7</v>
      </c>
      <c r="N1" s="8" t="str">
        <f>$AE$1</f>
        <v>Worksheet P7</v>
      </c>
      <c r="U1" s="8" t="str">
        <f>$AE$1</f>
        <v>Worksheet P7</v>
      </c>
      <c r="AB1" s="8" t="str">
        <f>$AE$1</f>
        <v>Worksheet P7</v>
      </c>
      <c r="AE1" s="8" t="s">
        <v>922</v>
      </c>
    </row>
    <row r="2" spans="1:31" x14ac:dyDescent="0.25">
      <c r="A2" t="str">
        <f>frtp</f>
        <v>Formula Rate Template (Projected)</v>
      </c>
      <c r="G2" s="8"/>
      <c r="N2" s="8"/>
      <c r="U2" s="8"/>
      <c r="AB2" s="8"/>
      <c r="AE2" s="8"/>
    </row>
    <row r="3" spans="1:31" x14ac:dyDescent="0.25">
      <c r="A3" t="s">
        <v>383</v>
      </c>
    </row>
    <row r="4" spans="1:31" x14ac:dyDescent="0.25">
      <c r="A4" t="str">
        <f>"12 Months Ended December 31, "&amp;YEAR('A1 (FF1 Inputs)'!$E$12)+2</f>
        <v>12 Months Ended December 31, 2022</v>
      </c>
    </row>
    <row r="5" spans="1:31"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1:31" ht="5.25" customHeight="1" thickTop="1" x14ac:dyDescent="0.25">
      <c r="A6"/>
    </row>
    <row r="7" spans="1:31" s="3" customFormat="1" ht="15.75" customHeight="1" x14ac:dyDescent="0.25">
      <c r="A7" s="266" t="str">
        <f>ln</f>
        <v>Line No.</v>
      </c>
      <c r="B7" s="266" t="s">
        <v>672</v>
      </c>
      <c r="C7" s="266" t="s">
        <v>2</v>
      </c>
      <c r="D7" s="275" t="s">
        <v>384</v>
      </c>
      <c r="E7" s="282" t="s">
        <v>385</v>
      </c>
      <c r="F7" s="266" t="s">
        <v>673</v>
      </c>
      <c r="G7" s="282" t="s">
        <v>386</v>
      </c>
      <c r="H7" s="282" t="s">
        <v>387</v>
      </c>
      <c r="I7" s="282" t="s">
        <v>388</v>
      </c>
      <c r="J7" s="282" t="s">
        <v>389</v>
      </c>
      <c r="K7" s="283" t="s">
        <v>674</v>
      </c>
      <c r="L7" s="268" t="s">
        <v>393</v>
      </c>
      <c r="M7" s="268"/>
      <c r="N7" s="282" t="s">
        <v>391</v>
      </c>
      <c r="O7" s="270" t="s">
        <v>394</v>
      </c>
      <c r="P7" s="270"/>
      <c r="Q7" s="270"/>
      <c r="R7" s="270"/>
      <c r="S7" s="270"/>
      <c r="T7" s="270"/>
      <c r="U7" s="270"/>
      <c r="V7" s="270" t="str">
        <f>O7</f>
        <v>UNAMORTIZED BALANCES</v>
      </c>
      <c r="W7" s="270"/>
      <c r="X7" s="270"/>
      <c r="Y7" s="270"/>
      <c r="Z7" s="270"/>
      <c r="AA7" s="270"/>
      <c r="AB7" s="275" t="s">
        <v>408</v>
      </c>
      <c r="AC7" s="283" t="s">
        <v>675</v>
      </c>
      <c r="AD7" s="282" t="s">
        <v>409</v>
      </c>
      <c r="AE7" s="266" t="s">
        <v>676</v>
      </c>
    </row>
    <row r="8" spans="1:31" s="3" customFormat="1" ht="21.75" customHeight="1" x14ac:dyDescent="0.25">
      <c r="A8" s="266"/>
      <c r="B8" s="266"/>
      <c r="C8" s="266"/>
      <c r="D8" s="275"/>
      <c r="E8" s="282"/>
      <c r="F8" s="266"/>
      <c r="G8" s="282"/>
      <c r="H8" s="282"/>
      <c r="I8" s="282"/>
      <c r="J8" s="282"/>
      <c r="K8" s="283"/>
      <c r="L8" s="3" t="s">
        <v>5</v>
      </c>
      <c r="M8" s="3" t="s">
        <v>6</v>
      </c>
      <c r="N8" s="282"/>
      <c r="O8" s="3" t="str">
        <f>"Dec-"&amp;YEAR('A1 (FF1 Inputs)'!$E$12)+1</f>
        <v>Dec-2021</v>
      </c>
      <c r="P8" s="3" t="str">
        <f>"Jan-"&amp;YEAR('A1 (FF1 Inputs)'!$E$12)+2</f>
        <v>Jan-2022</v>
      </c>
      <c r="Q8" s="3" t="str">
        <f>"Feb-"&amp;YEAR('A1 (FF1 Inputs)'!$E$12)+2</f>
        <v>Feb-2022</v>
      </c>
      <c r="R8" s="3" t="str">
        <f>"Mar-"&amp;YEAR('A1 (FF1 Inputs)'!$E$12)+2</f>
        <v>Mar-2022</v>
      </c>
      <c r="S8" s="3" t="str">
        <f>"Apr-"&amp;YEAR('A1 (FF1 Inputs)'!$E$12)+2</f>
        <v>Apr-2022</v>
      </c>
      <c r="T8" s="3" t="str">
        <f>"May-"&amp;YEAR('A1 (FF1 Inputs)'!$E$12)+2</f>
        <v>May-2022</v>
      </c>
      <c r="U8" s="3" t="str">
        <f>"Jun-"&amp;YEAR('A1 (FF1 Inputs)'!$E$12)+2</f>
        <v>Jun-2022</v>
      </c>
      <c r="V8" s="3" t="str">
        <f>"Jul-"&amp;YEAR('A1 (FF1 Inputs)'!$E$12)+2</f>
        <v>Jul-2022</v>
      </c>
      <c r="W8" s="3" t="str">
        <f>"Aug-"&amp;YEAR('A1 (FF1 Inputs)'!$E$12)+2</f>
        <v>Aug-2022</v>
      </c>
      <c r="X8" s="3" t="str">
        <f>"Sep-"&amp;YEAR('A1 (FF1 Inputs)'!$E$12)+2</f>
        <v>Sep-2022</v>
      </c>
      <c r="Y8" s="3" t="str">
        <f>"Oct-"&amp;YEAR('A1 (FF1 Inputs)'!$E$12)+2</f>
        <v>Oct-2022</v>
      </c>
      <c r="Z8" s="3" t="str">
        <f>"Nov-"&amp;YEAR('A1 (FF1 Inputs)'!$E$12)+2</f>
        <v>Nov-2022</v>
      </c>
      <c r="AA8" s="3" t="str">
        <f>"Dec-"&amp;YEAR('A1 (FF1 Inputs)'!$E$12)+2</f>
        <v>Dec-2022</v>
      </c>
      <c r="AB8" s="275"/>
      <c r="AC8" s="283"/>
      <c r="AD8" s="282"/>
      <c r="AE8" s="266"/>
    </row>
    <row r="9" spans="1:31" s="1" customFormat="1" ht="31.5" x14ac:dyDescent="0.25">
      <c r="A9" s="266"/>
      <c r="B9" s="2" t="s">
        <v>7</v>
      </c>
      <c r="C9" s="2" t="s">
        <v>8</v>
      </c>
      <c r="D9" s="2" t="s">
        <v>9</v>
      </c>
      <c r="E9" s="2" t="s">
        <v>10</v>
      </c>
      <c r="F9" s="2" t="s">
        <v>11</v>
      </c>
      <c r="G9" s="2" t="s">
        <v>12</v>
      </c>
      <c r="H9" s="2" t="s">
        <v>416</v>
      </c>
      <c r="I9" s="84" t="s">
        <v>418</v>
      </c>
      <c r="J9" s="2" t="s">
        <v>423</v>
      </c>
      <c r="K9" s="2" t="s">
        <v>94</v>
      </c>
      <c r="L9" s="2" t="s">
        <v>95</v>
      </c>
      <c r="M9" s="2" t="s">
        <v>307</v>
      </c>
      <c r="N9" s="2" t="s">
        <v>417</v>
      </c>
      <c r="O9" s="2" t="s">
        <v>395</v>
      </c>
      <c r="P9" s="2" t="s">
        <v>396</v>
      </c>
      <c r="Q9" s="2" t="s">
        <v>397</v>
      </c>
      <c r="R9" s="2" t="s">
        <v>398</v>
      </c>
      <c r="S9" s="2" t="s">
        <v>399</v>
      </c>
      <c r="T9" s="2" t="s">
        <v>400</v>
      </c>
      <c r="U9" s="2" t="s">
        <v>401</v>
      </c>
      <c r="V9" s="2" t="s">
        <v>402</v>
      </c>
      <c r="W9" s="2" t="s">
        <v>403</v>
      </c>
      <c r="X9" s="2" t="s">
        <v>404</v>
      </c>
      <c r="Y9" s="2" t="s">
        <v>405</v>
      </c>
      <c r="Z9" s="2" t="s">
        <v>406</v>
      </c>
      <c r="AA9" s="2" t="s">
        <v>407</v>
      </c>
      <c r="AB9" s="3" t="s">
        <v>419</v>
      </c>
      <c r="AC9" s="2" t="s">
        <v>410</v>
      </c>
      <c r="AD9" s="2" t="s">
        <v>669</v>
      </c>
      <c r="AE9" s="2" t="s">
        <v>636</v>
      </c>
    </row>
    <row r="10" spans="1:31"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row>
    <row r="11" spans="1:31" ht="5.25" customHeight="1" x14ac:dyDescent="0.25">
      <c r="A11"/>
    </row>
    <row r="12" spans="1:31" x14ac:dyDescent="0.25">
      <c r="A12" s="31" t="s">
        <v>411</v>
      </c>
      <c r="B12" s="32" t="s">
        <v>414</v>
      </c>
      <c r="C12" s="32" t="s">
        <v>357</v>
      </c>
      <c r="D12" s="31" t="s">
        <v>357</v>
      </c>
      <c r="E12" s="31" t="s">
        <v>357</v>
      </c>
      <c r="F12" s="37">
        <v>0</v>
      </c>
      <c r="G12" s="31">
        <v>0</v>
      </c>
      <c r="H12" s="41">
        <f>IFERROR(F12/G12,0)</f>
        <v>0</v>
      </c>
      <c r="I12" s="44">
        <f>IFERROR(IF(O12/H12&lt;12,O12/H12,12),0)</f>
        <v>0</v>
      </c>
      <c r="J12" s="41">
        <f>H12*I12</f>
        <v>0</v>
      </c>
      <c r="K12" s="43">
        <v>0</v>
      </c>
      <c r="L12" s="31" t="s">
        <v>357</v>
      </c>
      <c r="M12" s="45">
        <f>IFERROR(VLOOKUP(L12,'P12 (Allocation Factors)'!$D:$F,3,0),0)</f>
        <v>0</v>
      </c>
      <c r="N12" s="41">
        <f>J12*K12*M12</f>
        <v>0</v>
      </c>
      <c r="O12" s="37">
        <v>0</v>
      </c>
      <c r="P12" s="37">
        <v>0</v>
      </c>
      <c r="Q12" s="37">
        <v>0</v>
      </c>
      <c r="R12" s="37">
        <v>0</v>
      </c>
      <c r="S12" s="37">
        <v>0</v>
      </c>
      <c r="T12" s="37">
        <v>0</v>
      </c>
      <c r="U12" s="37">
        <v>0</v>
      </c>
      <c r="V12" s="37">
        <v>0</v>
      </c>
      <c r="W12" s="37">
        <v>0</v>
      </c>
      <c r="X12" s="37">
        <v>0</v>
      </c>
      <c r="Y12" s="37">
        <v>0</v>
      </c>
      <c r="Z12" s="37">
        <v>0</v>
      </c>
      <c r="AA12" s="37">
        <v>0</v>
      </c>
      <c r="AB12" s="41">
        <f>AVERAGE(O12:AA12)</f>
        <v>0</v>
      </c>
      <c r="AC12" s="43">
        <v>0</v>
      </c>
      <c r="AD12" s="41">
        <f>AB12*M12*AC12</f>
        <v>0</v>
      </c>
      <c r="AE12" s="46" t="s">
        <v>357</v>
      </c>
    </row>
    <row r="13" spans="1:31" x14ac:dyDescent="0.25">
      <c r="A13" s="31" t="s">
        <v>412</v>
      </c>
      <c r="B13" s="32" t="s">
        <v>415</v>
      </c>
      <c r="C13" s="32" t="s">
        <v>357</v>
      </c>
      <c r="D13" s="31" t="s">
        <v>357</v>
      </c>
      <c r="E13" s="31" t="s">
        <v>357</v>
      </c>
      <c r="F13" s="37">
        <v>0</v>
      </c>
      <c r="G13" s="31">
        <v>0</v>
      </c>
      <c r="H13" s="41">
        <f t="shared" ref="H13:H18" si="0">IFERROR(F13/G13,0)</f>
        <v>0</v>
      </c>
      <c r="I13" s="44">
        <f t="shared" ref="I13:I18" si="1">IFERROR(IF(O13/H13&lt;12,O13/H13,12),0)</f>
        <v>0</v>
      </c>
      <c r="J13" s="41">
        <f t="shared" ref="J13:J15" si="2">H13*I13</f>
        <v>0</v>
      </c>
      <c r="K13" s="43">
        <v>0</v>
      </c>
      <c r="L13" s="31" t="s">
        <v>357</v>
      </c>
      <c r="M13" s="45">
        <f>IFERROR(VLOOKUP(L13,'P12 (Allocation Factors)'!$D:$F,3,0),0)</f>
        <v>0</v>
      </c>
      <c r="N13" s="41">
        <f t="shared" ref="N13:N18" si="3">J13*K13*M13</f>
        <v>0</v>
      </c>
      <c r="O13" s="37">
        <v>0</v>
      </c>
      <c r="P13" s="37">
        <v>0</v>
      </c>
      <c r="Q13" s="37">
        <v>0</v>
      </c>
      <c r="R13" s="37">
        <v>0</v>
      </c>
      <c r="S13" s="37">
        <v>0</v>
      </c>
      <c r="T13" s="37">
        <v>0</v>
      </c>
      <c r="U13" s="37">
        <v>0</v>
      </c>
      <c r="V13" s="37">
        <v>0</v>
      </c>
      <c r="W13" s="37">
        <v>0</v>
      </c>
      <c r="X13" s="37">
        <v>0</v>
      </c>
      <c r="Y13" s="37">
        <v>0</v>
      </c>
      <c r="Z13" s="37">
        <v>0</v>
      </c>
      <c r="AA13" s="37">
        <v>0</v>
      </c>
      <c r="AB13" s="41">
        <f t="shared" ref="AB13:AB18" si="4">AVERAGE(O13:AA13)</f>
        <v>0</v>
      </c>
      <c r="AC13" s="43">
        <v>0</v>
      </c>
      <c r="AD13" s="41">
        <f>AB13*M13*AC13</f>
        <v>0</v>
      </c>
      <c r="AE13" s="46" t="s">
        <v>357</v>
      </c>
    </row>
    <row r="14" spans="1:31" x14ac:dyDescent="0.25">
      <c r="A14" s="31" t="s">
        <v>413</v>
      </c>
      <c r="B14" s="32" t="s">
        <v>414</v>
      </c>
      <c r="C14" s="32" t="s">
        <v>357</v>
      </c>
      <c r="D14" s="31" t="s">
        <v>357</v>
      </c>
      <c r="E14" s="31" t="s">
        <v>357</v>
      </c>
      <c r="F14" s="37">
        <v>0</v>
      </c>
      <c r="G14" s="31">
        <v>0</v>
      </c>
      <c r="H14" s="41">
        <f t="shared" si="0"/>
        <v>0</v>
      </c>
      <c r="I14" s="44">
        <f t="shared" si="1"/>
        <v>0</v>
      </c>
      <c r="J14" s="41">
        <f t="shared" si="2"/>
        <v>0</v>
      </c>
      <c r="K14" s="43">
        <v>0</v>
      </c>
      <c r="L14" s="31" t="s">
        <v>357</v>
      </c>
      <c r="M14" s="45">
        <f>IFERROR(VLOOKUP(L14,'P12 (Allocation Factors)'!$D:$F,3,0),0)</f>
        <v>0</v>
      </c>
      <c r="N14" s="41">
        <f t="shared" si="3"/>
        <v>0</v>
      </c>
      <c r="O14" s="37">
        <v>0</v>
      </c>
      <c r="P14" s="37">
        <v>0</v>
      </c>
      <c r="Q14" s="37">
        <v>0</v>
      </c>
      <c r="R14" s="37">
        <v>0</v>
      </c>
      <c r="S14" s="37">
        <v>0</v>
      </c>
      <c r="T14" s="37">
        <v>0</v>
      </c>
      <c r="U14" s="37">
        <v>0</v>
      </c>
      <c r="V14" s="37">
        <v>0</v>
      </c>
      <c r="W14" s="37">
        <v>0</v>
      </c>
      <c r="X14" s="37">
        <v>0</v>
      </c>
      <c r="Y14" s="37">
        <v>0</v>
      </c>
      <c r="Z14" s="37">
        <v>0</v>
      </c>
      <c r="AA14" s="37">
        <v>0</v>
      </c>
      <c r="AB14" s="41">
        <f t="shared" si="4"/>
        <v>0</v>
      </c>
      <c r="AC14" s="43">
        <v>0</v>
      </c>
      <c r="AD14" s="41">
        <f t="shared" ref="AD14:AD18" si="5">AB14*M14*AC14</f>
        <v>0</v>
      </c>
      <c r="AE14" s="46" t="s">
        <v>357</v>
      </c>
    </row>
    <row r="15" spans="1:31" x14ac:dyDescent="0.25">
      <c r="A15" s="31" t="s">
        <v>357</v>
      </c>
      <c r="B15" s="32" t="s">
        <v>357</v>
      </c>
      <c r="C15" s="32" t="s">
        <v>357</v>
      </c>
      <c r="D15" s="31" t="s">
        <v>357</v>
      </c>
      <c r="E15" s="31" t="s">
        <v>357</v>
      </c>
      <c r="F15" s="37">
        <v>0</v>
      </c>
      <c r="G15" s="31">
        <v>0</v>
      </c>
      <c r="H15" s="41">
        <f t="shared" si="0"/>
        <v>0</v>
      </c>
      <c r="I15" s="44">
        <f t="shared" si="1"/>
        <v>0</v>
      </c>
      <c r="J15" s="41">
        <f t="shared" si="2"/>
        <v>0</v>
      </c>
      <c r="K15" s="43">
        <v>0</v>
      </c>
      <c r="L15" s="31" t="s">
        <v>357</v>
      </c>
      <c r="M15" s="45">
        <f>IFERROR(VLOOKUP(L15,'P12 (Allocation Factors)'!$D:$F,3,0),0)</f>
        <v>0</v>
      </c>
      <c r="N15" s="41">
        <f t="shared" si="3"/>
        <v>0</v>
      </c>
      <c r="O15" s="37">
        <v>0</v>
      </c>
      <c r="P15" s="37">
        <v>0</v>
      </c>
      <c r="Q15" s="37">
        <v>0</v>
      </c>
      <c r="R15" s="37">
        <v>0</v>
      </c>
      <c r="S15" s="37">
        <v>0</v>
      </c>
      <c r="T15" s="37">
        <v>0</v>
      </c>
      <c r="U15" s="37">
        <v>0</v>
      </c>
      <c r="V15" s="37">
        <v>0</v>
      </c>
      <c r="W15" s="37">
        <v>0</v>
      </c>
      <c r="X15" s="37">
        <v>0</v>
      </c>
      <c r="Y15" s="37">
        <v>0</v>
      </c>
      <c r="Z15" s="37">
        <v>0</v>
      </c>
      <c r="AA15" s="37">
        <v>0</v>
      </c>
      <c r="AB15" s="41">
        <f t="shared" si="4"/>
        <v>0</v>
      </c>
      <c r="AC15" s="43">
        <v>0</v>
      </c>
      <c r="AD15" s="41">
        <f t="shared" si="5"/>
        <v>0</v>
      </c>
      <c r="AE15" s="46" t="s">
        <v>357</v>
      </c>
    </row>
    <row r="16" spans="1:31" x14ac:dyDescent="0.25">
      <c r="A16" s="31" t="s">
        <v>357</v>
      </c>
      <c r="B16" s="32" t="s">
        <v>357</v>
      </c>
      <c r="C16" s="32" t="s">
        <v>357</v>
      </c>
      <c r="D16" s="31" t="s">
        <v>357</v>
      </c>
      <c r="E16" s="31" t="s">
        <v>357</v>
      </c>
      <c r="F16" s="37">
        <v>0</v>
      </c>
      <c r="G16" s="31">
        <v>0</v>
      </c>
      <c r="H16" s="41">
        <f t="shared" si="0"/>
        <v>0</v>
      </c>
      <c r="I16" s="44">
        <f t="shared" si="1"/>
        <v>0</v>
      </c>
      <c r="J16" s="41">
        <f>H16*I16</f>
        <v>0</v>
      </c>
      <c r="K16" s="43">
        <v>0</v>
      </c>
      <c r="L16" s="31" t="s">
        <v>357</v>
      </c>
      <c r="M16" s="45">
        <f>IFERROR(VLOOKUP(L16,'P12 (Allocation Factors)'!$D:$F,3,0),0)</f>
        <v>0</v>
      </c>
      <c r="N16" s="41">
        <f t="shared" si="3"/>
        <v>0</v>
      </c>
      <c r="O16" s="37">
        <v>0</v>
      </c>
      <c r="P16" s="37">
        <v>0</v>
      </c>
      <c r="Q16" s="37">
        <v>0</v>
      </c>
      <c r="R16" s="37">
        <v>0</v>
      </c>
      <c r="S16" s="37">
        <v>0</v>
      </c>
      <c r="T16" s="37">
        <v>0</v>
      </c>
      <c r="U16" s="37">
        <v>0</v>
      </c>
      <c r="V16" s="37">
        <v>0</v>
      </c>
      <c r="W16" s="37">
        <v>0</v>
      </c>
      <c r="X16" s="37">
        <v>0</v>
      </c>
      <c r="Y16" s="37">
        <v>0</v>
      </c>
      <c r="Z16" s="37">
        <v>0</v>
      </c>
      <c r="AA16" s="37">
        <v>0</v>
      </c>
      <c r="AB16" s="41">
        <f t="shared" si="4"/>
        <v>0</v>
      </c>
      <c r="AC16" s="43">
        <v>0</v>
      </c>
      <c r="AD16" s="41">
        <f t="shared" si="5"/>
        <v>0</v>
      </c>
      <c r="AE16" s="46" t="s">
        <v>357</v>
      </c>
    </row>
    <row r="17" spans="1:31" x14ac:dyDescent="0.25">
      <c r="A17" s="31" t="s">
        <v>357</v>
      </c>
      <c r="B17" s="32" t="s">
        <v>357</v>
      </c>
      <c r="C17" s="32" t="s">
        <v>357</v>
      </c>
      <c r="D17" s="31" t="s">
        <v>357</v>
      </c>
      <c r="E17" s="31" t="s">
        <v>357</v>
      </c>
      <c r="F17" s="37">
        <v>0</v>
      </c>
      <c r="G17" s="31">
        <v>0</v>
      </c>
      <c r="H17" s="41">
        <f t="shared" si="0"/>
        <v>0</v>
      </c>
      <c r="I17" s="44">
        <f t="shared" si="1"/>
        <v>0</v>
      </c>
      <c r="J17" s="41">
        <f t="shared" ref="J17:J18" si="6">H17*I17</f>
        <v>0</v>
      </c>
      <c r="K17" s="43">
        <v>0</v>
      </c>
      <c r="L17" s="31" t="s">
        <v>357</v>
      </c>
      <c r="M17" s="45">
        <f>IFERROR(VLOOKUP(L17,'P12 (Allocation Factors)'!$D:$F,3,0),0)</f>
        <v>0</v>
      </c>
      <c r="N17" s="41">
        <f t="shared" si="3"/>
        <v>0</v>
      </c>
      <c r="O17" s="37">
        <v>0</v>
      </c>
      <c r="P17" s="37">
        <v>0</v>
      </c>
      <c r="Q17" s="37">
        <v>0</v>
      </c>
      <c r="R17" s="37">
        <v>0</v>
      </c>
      <c r="S17" s="37">
        <v>0</v>
      </c>
      <c r="T17" s="37">
        <v>0</v>
      </c>
      <c r="U17" s="37">
        <v>0</v>
      </c>
      <c r="V17" s="37">
        <v>0</v>
      </c>
      <c r="W17" s="37">
        <v>0</v>
      </c>
      <c r="X17" s="37">
        <v>0</v>
      </c>
      <c r="Y17" s="37">
        <v>0</v>
      </c>
      <c r="Z17" s="37">
        <v>0</v>
      </c>
      <c r="AA17" s="37">
        <v>0</v>
      </c>
      <c r="AB17" s="41">
        <f t="shared" si="4"/>
        <v>0</v>
      </c>
      <c r="AC17" s="43">
        <v>0</v>
      </c>
      <c r="AD17" s="41">
        <f t="shared" si="5"/>
        <v>0</v>
      </c>
      <c r="AE17" s="46" t="s">
        <v>357</v>
      </c>
    </row>
    <row r="18" spans="1:31" x14ac:dyDescent="0.25">
      <c r="A18" s="1" t="s">
        <v>478</v>
      </c>
      <c r="B18" s="104" t="s">
        <v>357</v>
      </c>
      <c r="C18" s="104" t="s">
        <v>357</v>
      </c>
      <c r="D18" s="73" t="s">
        <v>357</v>
      </c>
      <c r="E18" s="73" t="s">
        <v>357</v>
      </c>
      <c r="F18" s="20">
        <v>0</v>
      </c>
      <c r="G18" s="73">
        <v>0</v>
      </c>
      <c r="H18" s="10">
        <f t="shared" si="0"/>
        <v>0</v>
      </c>
      <c r="I18" s="25">
        <f t="shared" si="1"/>
        <v>0</v>
      </c>
      <c r="J18" s="10">
        <f t="shared" si="6"/>
        <v>0</v>
      </c>
      <c r="K18" s="105">
        <v>0</v>
      </c>
      <c r="L18" s="73" t="s">
        <v>357</v>
      </c>
      <c r="M18" s="45">
        <f>IFERROR(VLOOKUP(L18,'P12 (Allocation Factors)'!$D:$F,3,0),0)</f>
        <v>0</v>
      </c>
      <c r="N18" s="10">
        <f t="shared" si="3"/>
        <v>0</v>
      </c>
      <c r="O18" s="20">
        <v>0</v>
      </c>
      <c r="P18" s="20">
        <v>0</v>
      </c>
      <c r="Q18" s="20">
        <v>0</v>
      </c>
      <c r="R18" s="20">
        <v>0</v>
      </c>
      <c r="S18" s="20">
        <v>0</v>
      </c>
      <c r="T18" s="20">
        <v>0</v>
      </c>
      <c r="U18" s="20">
        <v>0</v>
      </c>
      <c r="V18" s="20">
        <v>0</v>
      </c>
      <c r="W18" s="20">
        <v>0</v>
      </c>
      <c r="X18" s="20">
        <v>0</v>
      </c>
      <c r="Y18" s="20">
        <v>0</v>
      </c>
      <c r="Z18" s="20">
        <v>0</v>
      </c>
      <c r="AA18" s="20">
        <v>0</v>
      </c>
      <c r="AB18" s="10">
        <f t="shared" si="4"/>
        <v>0</v>
      </c>
      <c r="AC18" s="105">
        <v>0</v>
      </c>
      <c r="AD18" s="10">
        <f t="shared" si="5"/>
        <v>0</v>
      </c>
      <c r="AE18" s="48" t="s">
        <v>357</v>
      </c>
    </row>
    <row r="19" spans="1:31" s="6" customFormat="1" x14ac:dyDescent="0.25">
      <c r="A19" s="88">
        <v>2</v>
      </c>
      <c r="B19" s="89" t="str">
        <f>"Total Regulatory Assets and Liabilities (Sum Lns. ("&amp;A12&amp;" through "&amp;A18&amp;"))"</f>
        <v>Total Regulatory Assets and Liabilities (Sum Lns. (1a through 1zz))</v>
      </c>
      <c r="C19" s="89"/>
      <c r="D19" s="89"/>
      <c r="E19" s="89"/>
      <c r="F19" s="90">
        <f>SUM(F12:F18)</f>
        <v>0</v>
      </c>
      <c r="G19" s="89"/>
      <c r="H19" s="90">
        <f>SUM(H12:H18)</f>
        <v>0</v>
      </c>
      <c r="I19" s="89"/>
      <c r="J19" s="90">
        <f>SUM(J12:J18)</f>
        <v>0</v>
      </c>
      <c r="K19" s="89"/>
      <c r="L19" s="89"/>
      <c r="M19" s="89"/>
      <c r="N19" s="90">
        <f>SUM(N12:N18)</f>
        <v>0</v>
      </c>
      <c r="O19" s="90">
        <f t="shared" ref="O19:AD19" si="7">SUM(O12:O18)</f>
        <v>0</v>
      </c>
      <c r="P19" s="90">
        <f t="shared" si="7"/>
        <v>0</v>
      </c>
      <c r="Q19" s="90">
        <f t="shared" si="7"/>
        <v>0</v>
      </c>
      <c r="R19" s="90">
        <f t="shared" si="7"/>
        <v>0</v>
      </c>
      <c r="S19" s="90">
        <f t="shared" si="7"/>
        <v>0</v>
      </c>
      <c r="T19" s="90">
        <f t="shared" si="7"/>
        <v>0</v>
      </c>
      <c r="U19" s="90">
        <f t="shared" si="7"/>
        <v>0</v>
      </c>
      <c r="V19" s="90">
        <f t="shared" si="7"/>
        <v>0</v>
      </c>
      <c r="W19" s="90">
        <f t="shared" si="7"/>
        <v>0</v>
      </c>
      <c r="X19" s="90">
        <f t="shared" si="7"/>
        <v>0</v>
      </c>
      <c r="Y19" s="90">
        <f t="shared" si="7"/>
        <v>0</v>
      </c>
      <c r="Z19" s="90">
        <f t="shared" si="7"/>
        <v>0</v>
      </c>
      <c r="AA19" s="90">
        <f t="shared" si="7"/>
        <v>0</v>
      </c>
      <c r="AB19" s="90">
        <f t="shared" si="7"/>
        <v>0</v>
      </c>
      <c r="AC19" s="90"/>
      <c r="AD19" s="90">
        <f t="shared" si="7"/>
        <v>0</v>
      </c>
      <c r="AE19" s="89"/>
    </row>
    <row r="20" spans="1:31" ht="7.5" customHeight="1" x14ac:dyDescent="0.25"/>
    <row r="21" spans="1:31" x14ac:dyDescent="0.25">
      <c r="A21" s="1">
        <f>A19+1</f>
        <v>3</v>
      </c>
      <c r="B21" t="s">
        <v>420</v>
      </c>
      <c r="F21" s="10">
        <f>SUMIF($B$12:$B$18,"Asset",F$12:F$18)</f>
        <v>0</v>
      </c>
      <c r="H21" s="10">
        <f>SUMIF($B$12:$B$18,"Asset",H$12:H$18)</f>
        <v>0</v>
      </c>
      <c r="J21" s="10">
        <f>SUMIF($B$12:$B$18,"Asset",J$12:J$18)</f>
        <v>0</v>
      </c>
      <c r="N21" s="10">
        <f>SUMIF($B$12:$B$18,"Asset",N$12:N$18)</f>
        <v>0</v>
      </c>
      <c r="O21" s="10">
        <f t="shared" ref="O21:AA21" si="8">SUMIF($B$12:$B$18,"Asset",O$12:O$18)</f>
        <v>0</v>
      </c>
      <c r="P21" s="10">
        <f t="shared" si="8"/>
        <v>0</v>
      </c>
      <c r="Q21" s="10">
        <f t="shared" si="8"/>
        <v>0</v>
      </c>
      <c r="R21" s="10">
        <f t="shared" si="8"/>
        <v>0</v>
      </c>
      <c r="S21" s="10">
        <f t="shared" si="8"/>
        <v>0</v>
      </c>
      <c r="T21" s="10">
        <f t="shared" si="8"/>
        <v>0</v>
      </c>
      <c r="U21" s="10">
        <f t="shared" si="8"/>
        <v>0</v>
      </c>
      <c r="V21" s="10">
        <f t="shared" si="8"/>
        <v>0</v>
      </c>
      <c r="W21" s="10">
        <f t="shared" si="8"/>
        <v>0</v>
      </c>
      <c r="X21" s="10">
        <f t="shared" si="8"/>
        <v>0</v>
      </c>
      <c r="Y21" s="10">
        <f t="shared" si="8"/>
        <v>0</v>
      </c>
      <c r="Z21" s="10">
        <f t="shared" si="8"/>
        <v>0</v>
      </c>
      <c r="AA21" s="10">
        <f t="shared" si="8"/>
        <v>0</v>
      </c>
      <c r="AB21" s="10">
        <f>SUMIF($B$12:$B$18,"Asset",AB$12:AB$18)</f>
        <v>0</v>
      </c>
      <c r="AC21" s="10"/>
      <c r="AD21" s="10">
        <f>SUMIF($B$12:$B$18,"Asset",AD$12:AD$18)</f>
        <v>0</v>
      </c>
    </row>
    <row r="22" spans="1:31" ht="7.5" customHeight="1" x14ac:dyDescent="0.25"/>
    <row r="23" spans="1:31" x14ac:dyDescent="0.25">
      <c r="A23" s="1">
        <f>A21+1</f>
        <v>4</v>
      </c>
      <c r="B23" t="s">
        <v>421</v>
      </c>
      <c r="F23" s="10">
        <f>SUMIF($B$12:$B$18,"Liability",F$12:F$18)</f>
        <v>0</v>
      </c>
      <c r="H23" s="10">
        <f>SUMIF($B$12:$B$18,"Liability",H$12:H$18)</f>
        <v>0</v>
      </c>
      <c r="J23" s="10">
        <f>SUMIF($B$12:$B$18,"Liability",J$12:J$18)</f>
        <v>0</v>
      </c>
      <c r="N23" s="10">
        <f>SUMIF($B$12:$B$18,"Liability",N$12:N$18)</f>
        <v>0</v>
      </c>
      <c r="O23" s="10">
        <f t="shared" ref="O23:Z23" si="9">SUMIF($B$12:$B$18,"Liability",O$12:O$18)</f>
        <v>0</v>
      </c>
      <c r="P23" s="10">
        <f t="shared" si="9"/>
        <v>0</v>
      </c>
      <c r="Q23" s="10">
        <f t="shared" si="9"/>
        <v>0</v>
      </c>
      <c r="R23" s="10">
        <f t="shared" si="9"/>
        <v>0</v>
      </c>
      <c r="S23" s="10">
        <f t="shared" si="9"/>
        <v>0</v>
      </c>
      <c r="T23" s="10">
        <f t="shared" si="9"/>
        <v>0</v>
      </c>
      <c r="U23" s="10">
        <f t="shared" si="9"/>
        <v>0</v>
      </c>
      <c r="V23" s="10">
        <f t="shared" si="9"/>
        <v>0</v>
      </c>
      <c r="W23" s="10">
        <f t="shared" si="9"/>
        <v>0</v>
      </c>
      <c r="X23" s="10">
        <f t="shared" si="9"/>
        <v>0</v>
      </c>
      <c r="Y23" s="10">
        <f t="shared" si="9"/>
        <v>0</v>
      </c>
      <c r="Z23" s="10">
        <f t="shared" si="9"/>
        <v>0</v>
      </c>
      <c r="AA23" s="10">
        <f>SUMIF($B$12:$B$18,"Liability",AA$12:AA$18)</f>
        <v>0</v>
      </c>
      <c r="AB23" s="10">
        <f>SUMIF($B$12:$B$18,"Liability",AB$12:AB$18)</f>
        <v>0</v>
      </c>
      <c r="AC23" s="10"/>
      <c r="AD23" s="10">
        <f>SUMIF($B$12:$B$18,"Liability",AD$12:AD$18)</f>
        <v>0</v>
      </c>
    </row>
    <row r="24" spans="1:31" ht="5.25" customHeight="1" x14ac:dyDescent="0.25">
      <c r="A24" s="1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row>
    <row r="25" spans="1:31" ht="5.25" customHeight="1" x14ac:dyDescent="0.25"/>
    <row r="26" spans="1:31" x14ac:dyDescent="0.25">
      <c r="A26" s="22" t="str">
        <f>note</f>
        <v>Notes and Sources:</v>
      </c>
    </row>
    <row r="27" spans="1:31" ht="18.75" x14ac:dyDescent="0.25">
      <c r="A27" s="23">
        <v>1</v>
      </c>
      <c r="B27" s="274" t="str">
        <f>"Unless otherwise stated, source of shaded cells is company input/records. Lines "&amp;A12&amp;" through "&amp;A18&amp;" represent adjustable lines that may be expanded/compressed on an annual basis to provide for a sufficient breakout of regulatory assets and liabilities."</f>
        <v>Unless otherwise stated, source of shaded cells is company input/records. Lines 1a through 1zz represent adjustable lines that may be expanded/compressed on an annual basis to provide for a sufficient breakout of regulatory assets and liabilities.</v>
      </c>
      <c r="C27" s="274"/>
    </row>
    <row r="28" spans="1:31" ht="15.75" customHeight="1" x14ac:dyDescent="0.25">
      <c r="A28" s="23"/>
      <c r="B28" s="274"/>
      <c r="C28" s="274"/>
    </row>
    <row r="29" spans="1:31" ht="15.75" customHeight="1" x14ac:dyDescent="0.25">
      <c r="A29" s="23"/>
      <c r="B29" s="274"/>
      <c r="C29" s="274"/>
    </row>
    <row r="30" spans="1:31" ht="18.75" x14ac:dyDescent="0.25">
      <c r="A30" s="23">
        <v>2</v>
      </c>
      <c r="B30" s="274" t="str">
        <f>"Must be listed as either 'Asset' or 'Liability'. Lines "&amp;A21&amp;" and "&amp;A23&amp;" populate automatically based on these labels."</f>
        <v>Must be listed as either 'Asset' or 'Liability'. Lines 3 and 4 populate automatically based on these labels.</v>
      </c>
      <c r="C30" s="274"/>
    </row>
    <row r="31" spans="1:31" ht="15.75" customHeight="1" x14ac:dyDescent="0.25">
      <c r="A31" s="23"/>
      <c r="B31" s="274"/>
      <c r="C31" s="274"/>
    </row>
    <row r="32" spans="1:31" ht="18.75" x14ac:dyDescent="0.25">
      <c r="A32" s="23">
        <v>3</v>
      </c>
      <c r="B32" t="s">
        <v>677</v>
      </c>
    </row>
    <row r="33" spans="1:31" ht="18.75" x14ac:dyDescent="0.25">
      <c r="A33" s="23">
        <v>4</v>
      </c>
      <c r="B33" s="274" t="str">
        <f>"Percentages greater than 0% listed in column "&amp;K9&amp;" must be accompanied by a corresponding FERC docket number in column "&amp;E9&amp;", where recovery was specifically directed or approved by the Commission pursuant to a §205, §206, or §219 filing. The associated recovery period resulting from the Commission direction or approval must be listed in column "&amp;G9&amp;"."</f>
        <v>Percentages greater than 0% listed in column [j] must be accompanied by a corresponding FERC docket number in column [d], where recovery was specifically directed or approved by the Commission pursuant to a §205, §206, or §219 filing. The associated recovery period resulting from the Commission direction or approval must be listed in column [f].</v>
      </c>
      <c r="C33" s="274"/>
    </row>
    <row r="34" spans="1:31" ht="18.75" x14ac:dyDescent="0.25">
      <c r="A34" s="23"/>
      <c r="B34" s="274"/>
      <c r="C34" s="274"/>
    </row>
    <row r="35" spans="1:31" ht="18.75" x14ac:dyDescent="0.25">
      <c r="A35" s="23"/>
      <c r="B35" s="274"/>
      <c r="C35" s="274"/>
    </row>
    <row r="36" spans="1:31" ht="9.75" customHeight="1" x14ac:dyDescent="0.25">
      <c r="A36" s="23"/>
      <c r="B36" s="274"/>
      <c r="C36" s="274"/>
    </row>
    <row r="37" spans="1:31" ht="20.85" customHeight="1" x14ac:dyDescent="0.25">
      <c r="A37" s="23">
        <v>5</v>
      </c>
      <c r="B37" s="274" t="str">
        <f>"Percentages greater than 0% listed in column "&amp;AC9&amp;" must be accompanied by a corresponding FERC docket number in column "&amp;E9&amp;", where rate base treatment was specifically directed or approved by the Commission pursuant to a §205, §206, or §219 filing. To the extent that rate"&amp;" base inclusion for the regulatory asset/liability was approved in a separate docket than the docket in which the rate recovery (through amortization) was approved, list both dockets in column "&amp;E9&amp;"."</f>
        <v>Percentages greater than 0% listed in column [bb] must be accompanied by a corresponding FERC docket number in column [d], where rate base treatment was specifically directed or approved by the Commission pursuant to a §205, §206, or §219 filing. To the extent that rate base inclusion for the regulatory asset/liability was approved in a separate docket than the docket in which the rate recovery (through amortization) was approved, list both dockets in column [d].</v>
      </c>
      <c r="C37" s="274"/>
    </row>
    <row r="38" spans="1:31" ht="20.85" customHeight="1" x14ac:dyDescent="0.25">
      <c r="A38" s="23"/>
      <c r="B38" s="274"/>
      <c r="C38" s="274"/>
    </row>
    <row r="39" spans="1:31" ht="20.85" customHeight="1" x14ac:dyDescent="0.25">
      <c r="A39" s="23"/>
      <c r="B39" s="274"/>
      <c r="C39" s="274"/>
    </row>
    <row r="40" spans="1:31" ht="36.75" customHeight="1" x14ac:dyDescent="0.25">
      <c r="A40" s="23"/>
      <c r="B40" s="274"/>
      <c r="C40" s="274"/>
    </row>
    <row r="41" spans="1:31" ht="18.75" x14ac:dyDescent="0.25">
      <c r="A41" s="23">
        <v>6</v>
      </c>
      <c r="B41" s="274" t="str">
        <f>"Only network allocator codes listed on "&amp;'P12 (Allocation Factors)'!F1&amp;" may be inputed."</f>
        <v>Only network allocator codes listed on Worksheet P12 may be inputed.</v>
      </c>
      <c r="C41" s="274"/>
    </row>
    <row r="42" spans="1:31" ht="30" customHeight="1" x14ac:dyDescent="0.25">
      <c r="A42" s="23"/>
      <c r="B42" s="274"/>
      <c r="C42" s="274"/>
    </row>
    <row r="43" spans="1:31" ht="5.25" customHeight="1" thickBot="1" x14ac:dyDescent="0.3">
      <c r="A43" s="2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row>
    <row r="44" spans="1:31" ht="5.25" customHeight="1" thickTop="1" x14ac:dyDescent="0.25"/>
  </sheetData>
  <mergeCells count="24">
    <mergeCell ref="A7:A9"/>
    <mergeCell ref="B7:B8"/>
    <mergeCell ref="C7:C8"/>
    <mergeCell ref="D7:D8"/>
    <mergeCell ref="E7:E8"/>
    <mergeCell ref="B41:C42"/>
    <mergeCell ref="N7:N8"/>
    <mergeCell ref="O7:U7"/>
    <mergeCell ref="V7:AA7"/>
    <mergeCell ref="AB7:AB8"/>
    <mergeCell ref="G7:G8"/>
    <mergeCell ref="H7:H8"/>
    <mergeCell ref="I7:I8"/>
    <mergeCell ref="J7:J8"/>
    <mergeCell ref="K7:K8"/>
    <mergeCell ref="L7:M7"/>
    <mergeCell ref="F7:F8"/>
    <mergeCell ref="AE7:AE8"/>
    <mergeCell ref="B27:C29"/>
    <mergeCell ref="B30:C31"/>
    <mergeCell ref="B33:C36"/>
    <mergeCell ref="B37:C40"/>
    <mergeCell ref="AC7:AC8"/>
    <mergeCell ref="AD7:AD8"/>
  </mergeCells>
  <pageMargins left="0.7" right="0.7" top="0.75" bottom="0.75" header="0.3" footer="0.3"/>
  <pageSetup scale="70" fitToWidth="5" orientation="landscape" horizontalDpi="1200" verticalDpi="1200" r:id="rId1"/>
  <headerFooter>
    <oddFooter>&amp;L&amp;6{W0327924.2 }</oddFooter>
  </headerFooter>
  <colBreaks count="2" manualBreakCount="2">
    <brk id="7" max="1048575" man="1"/>
    <brk id="21"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D38"/>
  <sheetViews>
    <sheetView workbookViewId="0"/>
  </sheetViews>
  <sheetFormatPr defaultRowHeight="15.75" x14ac:dyDescent="0.25"/>
  <cols>
    <col min="1" max="1" width="4.25" style="1" customWidth="1"/>
    <col min="2" max="2" width="29.75" customWidth="1"/>
    <col min="3" max="3" width="10.625" customWidth="1"/>
    <col min="4" max="4" width="10.75" customWidth="1"/>
    <col min="5" max="5" width="12.75" customWidth="1"/>
    <col min="6" max="6" width="10.625" customWidth="1"/>
    <col min="7" max="7" width="14.125" customWidth="1"/>
    <col min="8" max="8" width="14" customWidth="1"/>
    <col min="9" max="9" width="14.75" customWidth="1"/>
    <col min="10" max="10" width="13.25" customWidth="1"/>
    <col min="11" max="11" width="6.25" customWidth="1"/>
    <col min="13" max="13" width="15.25" customWidth="1"/>
    <col min="14" max="26" width="10.625" customWidth="1"/>
    <col min="27" max="28" width="15.25" customWidth="1"/>
    <col min="29" max="29" width="15.75" customWidth="1"/>
    <col min="30" max="30" width="30.625" customWidth="1"/>
  </cols>
  <sheetData>
    <row r="1" spans="1:30" x14ac:dyDescent="0.25">
      <c r="A1" s="6" t="str">
        <f>epe</f>
        <v>El Paso Electric Company</v>
      </c>
      <c r="M1" s="8" t="str">
        <f>$AD$1</f>
        <v>Worksheet P8</v>
      </c>
      <c r="V1" s="8" t="str">
        <f>$AD$1</f>
        <v>Worksheet P8</v>
      </c>
      <c r="AC1" s="8" t="str">
        <f>$AD$1</f>
        <v>Worksheet P8</v>
      </c>
      <c r="AD1" s="8" t="s">
        <v>925</v>
      </c>
    </row>
    <row r="2" spans="1:30" x14ac:dyDescent="0.25">
      <c r="A2" t="str">
        <f>frtp</f>
        <v>Formula Rate Template (Projected)</v>
      </c>
      <c r="M2" s="8"/>
      <c r="AD2" s="8"/>
    </row>
    <row r="3" spans="1:30" x14ac:dyDescent="0.25">
      <c r="A3" t="s">
        <v>439</v>
      </c>
    </row>
    <row r="4" spans="1:30" x14ac:dyDescent="0.25">
      <c r="A4" t="str">
        <f>"12 Months Ended December 31, "&amp;YEAR('A1 (FF1 Inputs)'!$E$12)+2</f>
        <v>12 Months Ended December 31, 2022</v>
      </c>
    </row>
    <row r="5" spans="1:30"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5.25" customHeight="1" thickTop="1" x14ac:dyDescent="0.25">
      <c r="A6"/>
    </row>
    <row r="7" spans="1:30" s="3" customFormat="1" ht="15.75" customHeight="1" x14ac:dyDescent="0.25">
      <c r="A7" s="266" t="str">
        <f>ln</f>
        <v>Line No.</v>
      </c>
      <c r="B7" s="266" t="s">
        <v>2</v>
      </c>
      <c r="C7" s="275" t="s">
        <v>384</v>
      </c>
      <c r="D7" s="282" t="s">
        <v>385</v>
      </c>
      <c r="E7" s="266" t="s">
        <v>670</v>
      </c>
      <c r="F7" s="282" t="s">
        <v>386</v>
      </c>
      <c r="G7" s="282" t="s">
        <v>387</v>
      </c>
      <c r="H7" s="282" t="s">
        <v>388</v>
      </c>
      <c r="I7" s="282" t="s">
        <v>389</v>
      </c>
      <c r="J7" s="282" t="s">
        <v>671</v>
      </c>
      <c r="K7" s="284" t="s">
        <v>393</v>
      </c>
      <c r="L7" s="284"/>
      <c r="M7" s="282" t="s">
        <v>391</v>
      </c>
      <c r="N7" s="270" t="s">
        <v>394</v>
      </c>
      <c r="O7" s="270"/>
      <c r="P7" s="270"/>
      <c r="Q7" s="270"/>
      <c r="R7" s="270"/>
      <c r="S7" s="270"/>
      <c r="T7" s="270"/>
      <c r="U7" s="270"/>
      <c r="V7" s="270"/>
      <c r="W7" s="270" t="str">
        <f>N7</f>
        <v>UNAMORTIZED BALANCES</v>
      </c>
      <c r="X7" s="270"/>
      <c r="Y7" s="270"/>
      <c r="Z7" s="270"/>
      <c r="AA7" s="275" t="s">
        <v>408</v>
      </c>
      <c r="AB7" s="282" t="s">
        <v>691</v>
      </c>
      <c r="AC7" s="275" t="s">
        <v>409</v>
      </c>
      <c r="AD7" s="266" t="s">
        <v>692</v>
      </c>
    </row>
    <row r="8" spans="1:30" s="3" customFormat="1" x14ac:dyDescent="0.25">
      <c r="A8" s="266"/>
      <c r="B8" s="266"/>
      <c r="C8" s="275"/>
      <c r="D8" s="282"/>
      <c r="E8" s="266"/>
      <c r="F8" s="282"/>
      <c r="G8" s="282"/>
      <c r="H8" s="282"/>
      <c r="I8" s="282"/>
      <c r="J8" s="282"/>
      <c r="K8" s="3" t="s">
        <v>5</v>
      </c>
      <c r="L8" s="3" t="s">
        <v>6</v>
      </c>
      <c r="M8" s="282"/>
      <c r="N8" s="3" t="str">
        <f>"Dec-"&amp;YEAR('A1 (FF1 Inputs)'!$E$12)+1</f>
        <v>Dec-2021</v>
      </c>
      <c r="O8" s="3" t="str">
        <f>"Jan-"&amp;YEAR('A1 (FF1 Inputs)'!$E$12)+2</f>
        <v>Jan-2022</v>
      </c>
      <c r="P8" s="3" t="str">
        <f>"Feb-"&amp;YEAR('A1 (FF1 Inputs)'!$E$12)+2</f>
        <v>Feb-2022</v>
      </c>
      <c r="Q8" s="3" t="str">
        <f>"Mar-"&amp;YEAR('A1 (FF1 Inputs)'!$E$12)+2</f>
        <v>Mar-2022</v>
      </c>
      <c r="R8" s="3" t="str">
        <f>"Apr-"&amp;YEAR('A1 (FF1 Inputs)'!$E$12)+2</f>
        <v>Apr-2022</v>
      </c>
      <c r="S8" s="3" t="str">
        <f>"May-"&amp;YEAR('A1 (FF1 Inputs)'!$E$12)+2</f>
        <v>May-2022</v>
      </c>
      <c r="T8" s="3" t="str">
        <f>"Jun-"&amp;YEAR('A1 (FF1 Inputs)'!$E$12)+2</f>
        <v>Jun-2022</v>
      </c>
      <c r="U8" s="3" t="str">
        <f>"Jul-"&amp;YEAR('A1 (FF1 Inputs)'!$E$12)+2</f>
        <v>Jul-2022</v>
      </c>
      <c r="V8" s="3" t="str">
        <f>"Aug-"&amp;YEAR('A1 (FF1 Inputs)'!$E$12)+2</f>
        <v>Aug-2022</v>
      </c>
      <c r="W8" s="3" t="str">
        <f>"Sep-"&amp;YEAR('A1 (FF1 Inputs)'!$E$12)+2</f>
        <v>Sep-2022</v>
      </c>
      <c r="X8" s="3" t="str">
        <f>"Oct-"&amp;YEAR('A1 (FF1 Inputs)'!$E$12)+2</f>
        <v>Oct-2022</v>
      </c>
      <c r="Y8" s="3" t="str">
        <f>"Nov-"&amp;YEAR('A1 (FF1 Inputs)'!$E$12)+2</f>
        <v>Nov-2022</v>
      </c>
      <c r="Z8" s="3" t="str">
        <f>"Dec-"&amp;YEAR('A1 (FF1 Inputs)'!$E$12)+2</f>
        <v>Dec-2022</v>
      </c>
      <c r="AA8" s="275"/>
      <c r="AB8" s="282"/>
      <c r="AC8" s="275"/>
      <c r="AD8" s="266"/>
    </row>
    <row r="9" spans="1:30" s="1" customFormat="1" ht="36" x14ac:dyDescent="0.25">
      <c r="A9" s="266"/>
      <c r="B9" s="2" t="s">
        <v>7</v>
      </c>
      <c r="C9" s="2" t="s">
        <v>8</v>
      </c>
      <c r="D9" s="2" t="s">
        <v>9</v>
      </c>
      <c r="E9" s="2" t="s">
        <v>10</v>
      </c>
      <c r="F9" s="2" t="s">
        <v>11</v>
      </c>
      <c r="G9" s="2" t="s">
        <v>440</v>
      </c>
      <c r="H9" s="47" t="s">
        <v>445</v>
      </c>
      <c r="I9" s="2" t="s">
        <v>441</v>
      </c>
      <c r="J9" s="2" t="s">
        <v>93</v>
      </c>
      <c r="K9" s="2" t="s">
        <v>94</v>
      </c>
      <c r="L9" s="2" t="s">
        <v>95</v>
      </c>
      <c r="M9" s="2" t="s">
        <v>442</v>
      </c>
      <c r="N9" s="2" t="s">
        <v>392</v>
      </c>
      <c r="O9" s="2" t="s">
        <v>395</v>
      </c>
      <c r="P9" s="2" t="s">
        <v>396</v>
      </c>
      <c r="Q9" s="2" t="s">
        <v>397</v>
      </c>
      <c r="R9" s="2" t="s">
        <v>398</v>
      </c>
      <c r="S9" s="2" t="s">
        <v>399</v>
      </c>
      <c r="T9" s="2" t="s">
        <v>400</v>
      </c>
      <c r="U9" s="2" t="s">
        <v>401</v>
      </c>
      <c r="V9" s="2" t="s">
        <v>402</v>
      </c>
      <c r="W9" s="2" t="s">
        <v>403</v>
      </c>
      <c r="X9" s="2" t="s">
        <v>404</v>
      </c>
      <c r="Y9" s="2" t="s">
        <v>405</v>
      </c>
      <c r="Z9" s="2" t="s">
        <v>406</v>
      </c>
      <c r="AA9" s="3" t="s">
        <v>443</v>
      </c>
      <c r="AB9" s="2" t="s">
        <v>635</v>
      </c>
      <c r="AC9" s="2" t="s">
        <v>689</v>
      </c>
      <c r="AD9" s="2" t="s">
        <v>444</v>
      </c>
    </row>
    <row r="10" spans="1:30" ht="5.2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row>
    <row r="11" spans="1:30" ht="5.25" customHeight="1" x14ac:dyDescent="0.25">
      <c r="A11"/>
    </row>
    <row r="12" spans="1:30" x14ac:dyDescent="0.25">
      <c r="A12" s="31" t="s">
        <v>411</v>
      </c>
      <c r="B12" s="32" t="s">
        <v>357</v>
      </c>
      <c r="C12" s="31" t="s">
        <v>357</v>
      </c>
      <c r="D12" s="31" t="s">
        <v>357</v>
      </c>
      <c r="E12" s="37">
        <v>0</v>
      </c>
      <c r="F12" s="31">
        <v>0</v>
      </c>
      <c r="G12" s="41">
        <f>IFERROR(E12/F12,0)</f>
        <v>0</v>
      </c>
      <c r="H12" s="44">
        <f>IFERROR(IF(N12/G12&lt;12,N12/G12,12),0)</f>
        <v>0</v>
      </c>
      <c r="I12" s="41">
        <f>G12*H12</f>
        <v>0</v>
      </c>
      <c r="J12" s="43">
        <v>0</v>
      </c>
      <c r="K12" s="31" t="s">
        <v>357</v>
      </c>
      <c r="L12" s="45">
        <f>IFERROR(VLOOKUP(K12,'P12 (Allocation Factors)'!$D:$F,3,0),0)</f>
        <v>0</v>
      </c>
      <c r="M12" s="41">
        <f>I12*J12*L12</f>
        <v>0</v>
      </c>
      <c r="N12" s="37">
        <v>0</v>
      </c>
      <c r="O12" s="37">
        <v>0</v>
      </c>
      <c r="P12" s="37">
        <v>0</v>
      </c>
      <c r="Q12" s="37">
        <v>0</v>
      </c>
      <c r="R12" s="37">
        <v>0</v>
      </c>
      <c r="S12" s="37">
        <v>0</v>
      </c>
      <c r="T12" s="37">
        <v>0</v>
      </c>
      <c r="U12" s="37">
        <v>0</v>
      </c>
      <c r="V12" s="37">
        <v>0</v>
      </c>
      <c r="W12" s="37">
        <v>0</v>
      </c>
      <c r="X12" s="37">
        <v>0</v>
      </c>
      <c r="Y12" s="37">
        <v>0</v>
      </c>
      <c r="Z12" s="37">
        <v>0</v>
      </c>
      <c r="AA12" s="41">
        <f>AVERAGE(N12:Z12)</f>
        <v>0</v>
      </c>
      <c r="AB12" s="43">
        <v>0</v>
      </c>
      <c r="AC12" s="41">
        <f>AA12*AB12*L12</f>
        <v>0</v>
      </c>
      <c r="AD12" s="46" t="s">
        <v>357</v>
      </c>
    </row>
    <row r="13" spans="1:30" x14ac:dyDescent="0.25">
      <c r="A13" s="31" t="s">
        <v>412</v>
      </c>
      <c r="B13" s="32" t="s">
        <v>357</v>
      </c>
      <c r="C13" s="31" t="s">
        <v>357</v>
      </c>
      <c r="D13" s="31" t="s">
        <v>357</v>
      </c>
      <c r="E13" s="37">
        <v>0</v>
      </c>
      <c r="F13" s="31">
        <v>0</v>
      </c>
      <c r="G13" s="41">
        <f t="shared" ref="G13:G18" si="0">IFERROR(E13/F13,0)</f>
        <v>0</v>
      </c>
      <c r="H13" s="44">
        <f t="shared" ref="H13:H18" si="1">IFERROR(IF(N13/G13&lt;12,N13/G13,12),0)</f>
        <v>0</v>
      </c>
      <c r="I13" s="41">
        <f t="shared" ref="I13:I15" si="2">G13*H13</f>
        <v>0</v>
      </c>
      <c r="J13" s="43">
        <v>0</v>
      </c>
      <c r="K13" s="31" t="s">
        <v>357</v>
      </c>
      <c r="L13" s="45">
        <f>IFERROR(VLOOKUP(K13,'P12 (Allocation Factors)'!$D:$F,3,0),0)</f>
        <v>0</v>
      </c>
      <c r="M13" s="41">
        <f t="shared" ref="M13:M18" si="3">I13*J13*L13</f>
        <v>0</v>
      </c>
      <c r="N13" s="37">
        <v>0</v>
      </c>
      <c r="O13" s="37">
        <v>0</v>
      </c>
      <c r="P13" s="37">
        <v>0</v>
      </c>
      <c r="Q13" s="37">
        <v>0</v>
      </c>
      <c r="R13" s="37">
        <v>0</v>
      </c>
      <c r="S13" s="37">
        <v>0</v>
      </c>
      <c r="T13" s="37">
        <v>0</v>
      </c>
      <c r="U13" s="37">
        <v>0</v>
      </c>
      <c r="V13" s="37">
        <v>0</v>
      </c>
      <c r="W13" s="37">
        <v>0</v>
      </c>
      <c r="X13" s="37">
        <v>0</v>
      </c>
      <c r="Y13" s="37">
        <v>0</v>
      </c>
      <c r="Z13" s="37">
        <v>0</v>
      </c>
      <c r="AA13" s="41">
        <f t="shared" ref="AA13:AA18" si="4">AVERAGE(N13:Z13)</f>
        <v>0</v>
      </c>
      <c r="AB13" s="43">
        <v>0</v>
      </c>
      <c r="AC13" s="41">
        <f t="shared" ref="AC13:AC18" si="5">AA13*AB13*L13</f>
        <v>0</v>
      </c>
      <c r="AD13" s="46" t="s">
        <v>357</v>
      </c>
    </row>
    <row r="14" spans="1:30" x14ac:dyDescent="0.25">
      <c r="A14" s="31" t="s">
        <v>413</v>
      </c>
      <c r="B14" s="32" t="s">
        <v>357</v>
      </c>
      <c r="C14" s="31" t="s">
        <v>357</v>
      </c>
      <c r="D14" s="31" t="s">
        <v>357</v>
      </c>
      <c r="E14" s="37">
        <v>0</v>
      </c>
      <c r="F14" s="31">
        <v>0</v>
      </c>
      <c r="G14" s="41">
        <f t="shared" si="0"/>
        <v>0</v>
      </c>
      <c r="H14" s="44">
        <f t="shared" si="1"/>
        <v>0</v>
      </c>
      <c r="I14" s="41">
        <f t="shared" si="2"/>
        <v>0</v>
      </c>
      <c r="J14" s="43">
        <v>0</v>
      </c>
      <c r="K14" s="31" t="s">
        <v>357</v>
      </c>
      <c r="L14" s="45">
        <f>IFERROR(VLOOKUP(K14,'P12 (Allocation Factors)'!$D:$F,3,0),0)</f>
        <v>0</v>
      </c>
      <c r="M14" s="41">
        <f t="shared" si="3"/>
        <v>0</v>
      </c>
      <c r="N14" s="37">
        <v>0</v>
      </c>
      <c r="O14" s="37">
        <v>0</v>
      </c>
      <c r="P14" s="37">
        <v>0</v>
      </c>
      <c r="Q14" s="37">
        <v>0</v>
      </c>
      <c r="R14" s="37">
        <v>0</v>
      </c>
      <c r="S14" s="37">
        <v>0</v>
      </c>
      <c r="T14" s="37">
        <v>0</v>
      </c>
      <c r="U14" s="37">
        <v>0</v>
      </c>
      <c r="V14" s="37">
        <v>0</v>
      </c>
      <c r="W14" s="37">
        <v>0</v>
      </c>
      <c r="X14" s="37">
        <v>0</v>
      </c>
      <c r="Y14" s="37">
        <v>0</v>
      </c>
      <c r="Z14" s="37">
        <v>0</v>
      </c>
      <c r="AA14" s="41">
        <f t="shared" si="4"/>
        <v>0</v>
      </c>
      <c r="AB14" s="43">
        <v>0</v>
      </c>
      <c r="AC14" s="41">
        <f t="shared" si="5"/>
        <v>0</v>
      </c>
      <c r="AD14" s="46" t="s">
        <v>357</v>
      </c>
    </row>
    <row r="15" spans="1:30" x14ac:dyDescent="0.25">
      <c r="A15" s="31" t="s">
        <v>357</v>
      </c>
      <c r="B15" s="32" t="s">
        <v>357</v>
      </c>
      <c r="C15" s="31" t="s">
        <v>357</v>
      </c>
      <c r="D15" s="31" t="s">
        <v>357</v>
      </c>
      <c r="E15" s="37">
        <v>0</v>
      </c>
      <c r="F15" s="31">
        <v>0</v>
      </c>
      <c r="G15" s="41">
        <f t="shared" si="0"/>
        <v>0</v>
      </c>
      <c r="H15" s="44">
        <f t="shared" si="1"/>
        <v>0</v>
      </c>
      <c r="I15" s="41">
        <f t="shared" si="2"/>
        <v>0</v>
      </c>
      <c r="J15" s="43">
        <v>0</v>
      </c>
      <c r="K15" s="31" t="s">
        <v>357</v>
      </c>
      <c r="L15" s="45">
        <f>IFERROR(VLOOKUP(K15,'P12 (Allocation Factors)'!$D:$F,3,0),0)</f>
        <v>0</v>
      </c>
      <c r="M15" s="41">
        <f t="shared" si="3"/>
        <v>0</v>
      </c>
      <c r="N15" s="37">
        <v>0</v>
      </c>
      <c r="O15" s="37">
        <v>0</v>
      </c>
      <c r="P15" s="37">
        <v>0</v>
      </c>
      <c r="Q15" s="37">
        <v>0</v>
      </c>
      <c r="R15" s="37">
        <v>0</v>
      </c>
      <c r="S15" s="37">
        <v>0</v>
      </c>
      <c r="T15" s="37">
        <v>0</v>
      </c>
      <c r="U15" s="37">
        <v>0</v>
      </c>
      <c r="V15" s="37">
        <v>0</v>
      </c>
      <c r="W15" s="37">
        <v>0</v>
      </c>
      <c r="X15" s="37">
        <v>0</v>
      </c>
      <c r="Y15" s="37">
        <v>0</v>
      </c>
      <c r="Z15" s="37">
        <v>0</v>
      </c>
      <c r="AA15" s="41">
        <f t="shared" si="4"/>
        <v>0</v>
      </c>
      <c r="AB15" s="43">
        <v>0</v>
      </c>
      <c r="AC15" s="41">
        <f t="shared" si="5"/>
        <v>0</v>
      </c>
      <c r="AD15" s="46" t="s">
        <v>357</v>
      </c>
    </row>
    <row r="16" spans="1:30" x14ac:dyDescent="0.25">
      <c r="A16" s="31" t="s">
        <v>357</v>
      </c>
      <c r="B16" s="32" t="s">
        <v>357</v>
      </c>
      <c r="C16" s="31" t="s">
        <v>357</v>
      </c>
      <c r="D16" s="31" t="s">
        <v>357</v>
      </c>
      <c r="E16" s="37">
        <v>0</v>
      </c>
      <c r="F16" s="31">
        <v>0</v>
      </c>
      <c r="G16" s="41">
        <f t="shared" si="0"/>
        <v>0</v>
      </c>
      <c r="H16" s="44">
        <f t="shared" si="1"/>
        <v>0</v>
      </c>
      <c r="I16" s="41">
        <f>G16*H16</f>
        <v>0</v>
      </c>
      <c r="J16" s="43">
        <v>0</v>
      </c>
      <c r="K16" s="31" t="s">
        <v>357</v>
      </c>
      <c r="L16" s="45">
        <f>IFERROR(VLOOKUP(K16,'P12 (Allocation Factors)'!$D:$F,3,0),0)</f>
        <v>0</v>
      </c>
      <c r="M16" s="41">
        <f t="shared" si="3"/>
        <v>0</v>
      </c>
      <c r="N16" s="37">
        <v>0</v>
      </c>
      <c r="O16" s="37">
        <v>0</v>
      </c>
      <c r="P16" s="37">
        <v>0</v>
      </c>
      <c r="Q16" s="37">
        <v>0</v>
      </c>
      <c r="R16" s="37">
        <v>0</v>
      </c>
      <c r="S16" s="37">
        <v>0</v>
      </c>
      <c r="T16" s="37">
        <v>0</v>
      </c>
      <c r="U16" s="37">
        <v>0</v>
      </c>
      <c r="V16" s="37">
        <v>0</v>
      </c>
      <c r="W16" s="37">
        <v>0</v>
      </c>
      <c r="X16" s="37">
        <v>0</v>
      </c>
      <c r="Y16" s="37">
        <v>0</v>
      </c>
      <c r="Z16" s="37">
        <v>0</v>
      </c>
      <c r="AA16" s="41">
        <f t="shared" si="4"/>
        <v>0</v>
      </c>
      <c r="AB16" s="43">
        <v>0</v>
      </c>
      <c r="AC16" s="41">
        <f t="shared" si="5"/>
        <v>0</v>
      </c>
      <c r="AD16" s="46" t="s">
        <v>357</v>
      </c>
    </row>
    <row r="17" spans="1:30" x14ac:dyDescent="0.25">
      <c r="A17" s="31" t="s">
        <v>357</v>
      </c>
      <c r="B17" s="32" t="s">
        <v>357</v>
      </c>
      <c r="C17" s="31" t="s">
        <v>357</v>
      </c>
      <c r="D17" s="31" t="s">
        <v>357</v>
      </c>
      <c r="E17" s="37">
        <v>0</v>
      </c>
      <c r="F17" s="31">
        <v>0</v>
      </c>
      <c r="G17" s="41">
        <f t="shared" si="0"/>
        <v>0</v>
      </c>
      <c r="H17" s="44">
        <f t="shared" si="1"/>
        <v>0</v>
      </c>
      <c r="I17" s="41">
        <f t="shared" ref="I17:I18" si="6">G17*H17</f>
        <v>0</v>
      </c>
      <c r="J17" s="43">
        <v>0</v>
      </c>
      <c r="K17" s="31" t="s">
        <v>357</v>
      </c>
      <c r="L17" s="45">
        <f>IFERROR(VLOOKUP(K17,'P12 (Allocation Factors)'!$D:$F,3,0),0)</f>
        <v>0</v>
      </c>
      <c r="M17" s="41">
        <f t="shared" si="3"/>
        <v>0</v>
      </c>
      <c r="N17" s="37">
        <v>0</v>
      </c>
      <c r="O17" s="37">
        <v>0</v>
      </c>
      <c r="P17" s="37">
        <v>0</v>
      </c>
      <c r="Q17" s="37">
        <v>0</v>
      </c>
      <c r="R17" s="37">
        <v>0</v>
      </c>
      <c r="S17" s="37">
        <v>0</v>
      </c>
      <c r="T17" s="37">
        <v>0</v>
      </c>
      <c r="U17" s="37">
        <v>0</v>
      </c>
      <c r="V17" s="37">
        <v>0</v>
      </c>
      <c r="W17" s="37">
        <v>0</v>
      </c>
      <c r="X17" s="37">
        <v>0</v>
      </c>
      <c r="Y17" s="37">
        <v>0</v>
      </c>
      <c r="Z17" s="37">
        <v>0</v>
      </c>
      <c r="AA17" s="41">
        <f t="shared" si="4"/>
        <v>0</v>
      </c>
      <c r="AB17" s="43">
        <v>0</v>
      </c>
      <c r="AC17" s="41">
        <f t="shared" si="5"/>
        <v>0</v>
      </c>
      <c r="AD17" s="46" t="s">
        <v>357</v>
      </c>
    </row>
    <row r="18" spans="1:30" x14ac:dyDescent="0.25">
      <c r="A18" s="1" t="s">
        <v>478</v>
      </c>
      <c r="B18" s="104" t="s">
        <v>357</v>
      </c>
      <c r="C18" s="73" t="s">
        <v>357</v>
      </c>
      <c r="D18" s="73" t="s">
        <v>357</v>
      </c>
      <c r="E18" s="20">
        <v>0</v>
      </c>
      <c r="F18" s="73">
        <v>0</v>
      </c>
      <c r="G18" s="10">
        <f t="shared" si="0"/>
        <v>0</v>
      </c>
      <c r="H18" s="25">
        <f t="shared" si="1"/>
        <v>0</v>
      </c>
      <c r="I18" s="10">
        <f t="shared" si="6"/>
        <v>0</v>
      </c>
      <c r="J18" s="105">
        <v>0</v>
      </c>
      <c r="K18" s="73" t="s">
        <v>357</v>
      </c>
      <c r="L18" s="45">
        <f>IFERROR(VLOOKUP(K18,'P12 (Allocation Factors)'!$D:$F,3,0),0)</f>
        <v>0</v>
      </c>
      <c r="M18" s="10">
        <f t="shared" si="3"/>
        <v>0</v>
      </c>
      <c r="N18" s="20">
        <v>0</v>
      </c>
      <c r="O18" s="20">
        <v>0</v>
      </c>
      <c r="P18" s="20">
        <v>0</v>
      </c>
      <c r="Q18" s="20">
        <v>0</v>
      </c>
      <c r="R18" s="20">
        <v>0</v>
      </c>
      <c r="S18" s="20">
        <v>0</v>
      </c>
      <c r="T18" s="20">
        <v>0</v>
      </c>
      <c r="U18" s="20">
        <v>0</v>
      </c>
      <c r="V18" s="20">
        <v>0</v>
      </c>
      <c r="W18" s="20">
        <v>0</v>
      </c>
      <c r="X18" s="20">
        <v>0</v>
      </c>
      <c r="Y18" s="20">
        <v>0</v>
      </c>
      <c r="Z18" s="20">
        <v>0</v>
      </c>
      <c r="AA18" s="10">
        <f t="shared" si="4"/>
        <v>0</v>
      </c>
      <c r="AB18" s="105">
        <v>0</v>
      </c>
      <c r="AC18" s="10">
        <f t="shared" si="5"/>
        <v>0</v>
      </c>
      <c r="AD18" s="48" t="s">
        <v>357</v>
      </c>
    </row>
    <row r="19" spans="1:30" s="6" customFormat="1" x14ac:dyDescent="0.25">
      <c r="A19" s="88">
        <v>2</v>
      </c>
      <c r="B19" s="89" t="str">
        <f>"Total Abandoned Plant (Sum Lns. ("&amp;A12&amp;" through "&amp;A18&amp;"))"</f>
        <v>Total Abandoned Plant (Sum Lns. (1a through 1zz))</v>
      </c>
      <c r="C19" s="89"/>
      <c r="D19" s="89"/>
      <c r="E19" s="90">
        <f>SUM(E12:E18)</f>
        <v>0</v>
      </c>
      <c r="F19" s="89"/>
      <c r="G19" s="90">
        <f>SUM(G12:G18)</f>
        <v>0</v>
      </c>
      <c r="H19" s="89"/>
      <c r="I19" s="90">
        <f>SUM(I12:I18)</f>
        <v>0</v>
      </c>
      <c r="J19" s="89"/>
      <c r="K19" s="89"/>
      <c r="L19" s="89"/>
      <c r="M19" s="90">
        <f>SUM(M12:M18)</f>
        <v>0</v>
      </c>
      <c r="N19" s="90">
        <f t="shared" ref="N19:AC19" si="7">SUM(N12:N18)</f>
        <v>0</v>
      </c>
      <c r="O19" s="90">
        <f t="shared" si="7"/>
        <v>0</v>
      </c>
      <c r="P19" s="90">
        <f t="shared" si="7"/>
        <v>0</v>
      </c>
      <c r="Q19" s="90">
        <f t="shared" si="7"/>
        <v>0</v>
      </c>
      <c r="R19" s="90">
        <f t="shared" si="7"/>
        <v>0</v>
      </c>
      <c r="S19" s="90">
        <f t="shared" si="7"/>
        <v>0</v>
      </c>
      <c r="T19" s="90">
        <f t="shared" si="7"/>
        <v>0</v>
      </c>
      <c r="U19" s="90">
        <f t="shared" si="7"/>
        <v>0</v>
      </c>
      <c r="V19" s="90">
        <f t="shared" si="7"/>
        <v>0</v>
      </c>
      <c r="W19" s="90">
        <f t="shared" si="7"/>
        <v>0</v>
      </c>
      <c r="X19" s="90">
        <f t="shared" si="7"/>
        <v>0</v>
      </c>
      <c r="Y19" s="90">
        <f t="shared" si="7"/>
        <v>0</v>
      </c>
      <c r="Z19" s="90">
        <f t="shared" si="7"/>
        <v>0</v>
      </c>
      <c r="AA19" s="90">
        <f t="shared" si="7"/>
        <v>0</v>
      </c>
      <c r="AB19" s="90"/>
      <c r="AC19" s="90">
        <f t="shared" si="7"/>
        <v>0</v>
      </c>
      <c r="AD19" s="89"/>
    </row>
    <row r="20" spans="1:30"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row>
    <row r="21" spans="1:30" ht="5.25" customHeight="1" x14ac:dyDescent="0.25"/>
    <row r="22" spans="1:30" x14ac:dyDescent="0.25">
      <c r="A22" s="22" t="str">
        <f>note</f>
        <v>Notes and Sources:</v>
      </c>
    </row>
    <row r="23" spans="1:30" ht="18.75" customHeight="1" x14ac:dyDescent="0.25">
      <c r="A23" s="23">
        <v>1</v>
      </c>
      <c r="B23" s="274" t="str">
        <f>"Unless otherwise stated, source of shaded cells is company input/records. Lines "&amp;A12&amp;" through "&amp;A18&amp;" represent adjustable lines that may be expanded/compressed on an annual basis to provide for a sufficient breakout of abandoned plant."</f>
        <v>Unless otherwise stated, source of shaded cells is company input/records. Lines 1a through 1zz represent adjustable lines that may be expanded/compressed on an annual basis to provide for a sufficient breakout of abandoned plant.</v>
      </c>
      <c r="C23" s="274"/>
      <c r="D23" s="274"/>
      <c r="E23" s="274"/>
      <c r="F23" s="274"/>
    </row>
    <row r="24" spans="1:30" ht="15.75" customHeight="1" x14ac:dyDescent="0.25">
      <c r="A24" s="23"/>
      <c r="B24" s="274"/>
      <c r="C24" s="274"/>
      <c r="D24" s="274"/>
      <c r="E24" s="274"/>
      <c r="F24" s="274"/>
    </row>
    <row r="25" spans="1:30" ht="15.75" customHeight="1" x14ac:dyDescent="0.25">
      <c r="A25" s="23"/>
      <c r="B25" s="274"/>
      <c r="C25" s="274"/>
      <c r="D25" s="274"/>
      <c r="E25" s="274"/>
      <c r="F25" s="274"/>
    </row>
    <row r="26" spans="1:30" ht="18.75" x14ac:dyDescent="0.25">
      <c r="A26" s="23">
        <v>2</v>
      </c>
      <c r="B26" t="s">
        <v>690</v>
      </c>
    </row>
    <row r="27" spans="1:30" ht="18.75" customHeight="1" x14ac:dyDescent="0.25">
      <c r="A27" s="23">
        <v>3</v>
      </c>
      <c r="B27" s="274" t="str">
        <f>"Percentages greater than 0% listed in column "&amp;J9&amp;" must be accompanied by a corresponding FERC docket number in column "&amp;D9&amp;", where recovery was specifically directed or approved by the Commission pursuant to a §205, §206, or §219 filing. The associated recovery period resulting from the Commission direction or approval must be listed in column "&amp;F9&amp;"."</f>
        <v>Percentages greater than 0% listed in column [i] must be accompanied by a corresponding FERC docket number in column [c], where recovery was specifically directed or approved by the Commission pursuant to a §205, §206, or §219 filing. The associated recovery period resulting from the Commission direction or approval must be listed in column [e].</v>
      </c>
      <c r="C27" s="274"/>
      <c r="D27" s="274"/>
      <c r="E27" s="274"/>
      <c r="F27" s="274"/>
    </row>
    <row r="28" spans="1:30" ht="18.75" x14ac:dyDescent="0.25">
      <c r="A28" s="23"/>
      <c r="B28" s="274"/>
      <c r="C28" s="274"/>
      <c r="D28" s="274"/>
      <c r="E28" s="274"/>
      <c r="F28" s="274"/>
    </row>
    <row r="29" spans="1:30" ht="18.75" x14ac:dyDescent="0.25">
      <c r="A29" s="23"/>
      <c r="B29" s="274"/>
      <c r="C29" s="274"/>
      <c r="D29" s="274"/>
      <c r="E29" s="274"/>
      <c r="F29" s="274"/>
    </row>
    <row r="30" spans="1:30" ht="12" customHeight="1" x14ac:dyDescent="0.25">
      <c r="A30" s="23"/>
      <c r="B30" s="274"/>
      <c r="C30" s="274"/>
      <c r="D30" s="274"/>
      <c r="E30" s="274"/>
      <c r="F30" s="274"/>
    </row>
    <row r="31" spans="1:30" ht="18.75" customHeight="1" x14ac:dyDescent="0.25">
      <c r="A31" s="23">
        <v>4</v>
      </c>
      <c r="B31" s="274" t="str">
        <f>"Percentages greater than 0% listed in column "&amp;AB9&amp;" must be accompanied by a corresponding FERC docket number in column "&amp;D9&amp;", where rate base treatment was specifically directed or approved by the Commission pursuant to a §205, §206, or §219 filing. To the extent that rate"&amp;" base inclusion for the abandoned plant was approved in a separate docket than the docket in which the rate recovery (through amortization) was approved, list both dockets in column "&amp;D9&amp;"."</f>
        <v>Percentages greater than 0% listed in column [aa] must be accompanied by a corresponding FERC docket number in column [c], where rate base treatment was specifically directed or approved by the Commission pursuant to a §205, §206, or §219 filing. To the extent that rate base inclusion for the abandoned plant was approved in a separate docket than the docket in which the rate recovery (through amortization) was approved, list both dockets in column [c].</v>
      </c>
      <c r="C31" s="274"/>
      <c r="D31" s="274"/>
      <c r="E31" s="274"/>
      <c r="F31" s="274"/>
    </row>
    <row r="32" spans="1:30" ht="18.75" x14ac:dyDescent="0.25">
      <c r="A32" s="23"/>
      <c r="B32" s="274"/>
      <c r="C32" s="274"/>
      <c r="D32" s="274"/>
      <c r="E32" s="274"/>
      <c r="F32" s="274"/>
    </row>
    <row r="33" spans="1:30" ht="18.75" x14ac:dyDescent="0.25">
      <c r="A33" s="23"/>
      <c r="B33" s="274"/>
      <c r="C33" s="274"/>
      <c r="D33" s="274"/>
      <c r="E33" s="274"/>
      <c r="F33" s="274"/>
    </row>
    <row r="34" spans="1:30" ht="40.5" customHeight="1" x14ac:dyDescent="0.25">
      <c r="A34" s="23"/>
      <c r="B34" s="274"/>
      <c r="C34" s="274"/>
      <c r="D34" s="274"/>
      <c r="E34" s="274"/>
      <c r="F34" s="274"/>
    </row>
    <row r="35" spans="1:30" ht="18.75" customHeight="1" x14ac:dyDescent="0.25">
      <c r="A35" s="23">
        <v>5</v>
      </c>
      <c r="B35" s="274" t="str">
        <f>"Only network allocator codes listed on "&amp;'P12 (Allocation Factors)'!F1&amp;" may be inputed."</f>
        <v>Only network allocator codes listed on Worksheet P12 may be inputed.</v>
      </c>
      <c r="C35" s="274"/>
      <c r="D35" s="274"/>
      <c r="E35" s="274"/>
      <c r="F35" s="274"/>
    </row>
    <row r="36" spans="1:30" ht="33.75" customHeight="1" x14ac:dyDescent="0.25">
      <c r="A36" s="23"/>
      <c r="B36" s="274"/>
      <c r="C36" s="274"/>
      <c r="D36" s="274"/>
      <c r="E36" s="274"/>
      <c r="F36" s="274"/>
    </row>
    <row r="37" spans="1:30" ht="5.25" customHeight="1" thickBot="1" x14ac:dyDescent="0.3">
      <c r="A37" s="2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ht="5.25" customHeight="1" thickTop="1" x14ac:dyDescent="0.25"/>
  </sheetData>
  <mergeCells count="22">
    <mergeCell ref="A7:A9"/>
    <mergeCell ref="B7:B8"/>
    <mergeCell ref="C7:C8"/>
    <mergeCell ref="D7:D8"/>
    <mergeCell ref="E7:E8"/>
    <mergeCell ref="W7:Z7"/>
    <mergeCell ref="AA7:AA8"/>
    <mergeCell ref="AB7:AB8"/>
    <mergeCell ref="AC7:AC8"/>
    <mergeCell ref="AD7:AD8"/>
    <mergeCell ref="B23:F25"/>
    <mergeCell ref="B27:F30"/>
    <mergeCell ref="B31:F34"/>
    <mergeCell ref="B35:F36"/>
    <mergeCell ref="N7:V7"/>
    <mergeCell ref="G7:G8"/>
    <mergeCell ref="H7:H8"/>
    <mergeCell ref="I7:I8"/>
    <mergeCell ref="J7:J8"/>
    <mergeCell ref="K7:L7"/>
    <mergeCell ref="M7:M8"/>
    <mergeCell ref="F7:F8"/>
  </mergeCells>
  <pageMargins left="0.7" right="0.7" top="0.75" bottom="0.75" header="0.3" footer="0.3"/>
  <pageSetup scale="64" fitToWidth="4" orientation="landscape" horizontalDpi="1200" verticalDpi="1200" r:id="rId1"/>
  <headerFooter>
    <oddFooter>&amp;L&amp;6{W0327924.2 }</oddFooter>
  </headerFooter>
  <colBreaks count="1" manualBreakCount="1">
    <brk id="13"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F57"/>
  <sheetViews>
    <sheetView workbookViewId="0"/>
  </sheetViews>
  <sheetFormatPr defaultRowHeight="15.75" x14ac:dyDescent="0.25"/>
  <cols>
    <col min="1" max="1" width="4.75" style="1" customWidth="1"/>
    <col min="2" max="2" width="59" bestFit="1" customWidth="1"/>
    <col min="3" max="3" width="51.25" bestFit="1" customWidth="1"/>
    <col min="4" max="6" width="14.125" customWidth="1"/>
  </cols>
  <sheetData>
    <row r="1" spans="1:6" x14ac:dyDescent="0.25">
      <c r="A1" s="6" t="str">
        <f>epe</f>
        <v>El Paso Electric Company</v>
      </c>
      <c r="F1" s="8" t="s">
        <v>947</v>
      </c>
    </row>
    <row r="2" spans="1:6" x14ac:dyDescent="0.25">
      <c r="A2" t="str">
        <f>frtp</f>
        <v>Formula Rate Template (Projected)</v>
      </c>
    </row>
    <row r="3" spans="1:6" x14ac:dyDescent="0.25">
      <c r="A3" t="s">
        <v>943</v>
      </c>
    </row>
    <row r="4" spans="1:6" x14ac:dyDescent="0.25">
      <c r="A4" t="str">
        <f>"12 Months Ended December 31, "&amp;YEAR('A1 (FF1 Inputs)'!$E$12)+2</f>
        <v>12 Months Ended December 31, 2022</v>
      </c>
    </row>
    <row r="5" spans="1:6" ht="5.25" customHeight="1" thickBot="1" x14ac:dyDescent="0.3">
      <c r="A5" s="4"/>
      <c r="B5" s="4"/>
      <c r="C5" s="4"/>
      <c r="D5" s="4"/>
      <c r="E5" s="4"/>
      <c r="F5" s="4"/>
    </row>
    <row r="6" spans="1:6" ht="5.25" customHeight="1" thickTop="1" x14ac:dyDescent="0.25">
      <c r="A6"/>
    </row>
    <row r="7" spans="1:6" s="3" customFormat="1" ht="31.5" x14ac:dyDescent="0.25">
      <c r="A7" s="3" t="str">
        <f>ln</f>
        <v>Line No.</v>
      </c>
      <c r="B7" s="3" t="s">
        <v>2</v>
      </c>
      <c r="C7" s="3" t="s">
        <v>3</v>
      </c>
      <c r="D7" s="3" t="s">
        <v>945</v>
      </c>
      <c r="E7" s="3" t="s">
        <v>958</v>
      </c>
      <c r="F7" s="3" t="s">
        <v>946</v>
      </c>
    </row>
    <row r="8" spans="1:6" s="3" customFormat="1" x14ac:dyDescent="0.25">
      <c r="B8" s="3" t="s">
        <v>7</v>
      </c>
      <c r="C8" s="3" t="s">
        <v>8</v>
      </c>
      <c r="D8" s="3" t="s">
        <v>9</v>
      </c>
      <c r="E8" s="3" t="s">
        <v>10</v>
      </c>
      <c r="F8" s="3" t="s">
        <v>11</v>
      </c>
    </row>
    <row r="9" spans="1:6" ht="5.25" customHeight="1" x14ac:dyDescent="0.25">
      <c r="A9" s="5"/>
      <c r="B9" s="5"/>
      <c r="C9" s="5"/>
      <c r="D9" s="5"/>
      <c r="E9" s="5"/>
      <c r="F9" s="5"/>
    </row>
    <row r="10" spans="1:6" ht="5.25" customHeight="1" x14ac:dyDescent="0.25">
      <c r="A10"/>
    </row>
    <row r="11" spans="1:6" x14ac:dyDescent="0.25">
      <c r="A11" s="1">
        <v>1</v>
      </c>
      <c r="B11" t="s">
        <v>28</v>
      </c>
      <c r="C11" t="str">
        <f>'Actual Attachment H'!$I$1&amp;", Ln. "&amp;'Actual Attachment H'!A56&amp;", Col. [c]"</f>
        <v>Attachment H (Actuals), Ln. 29, Col. [c]</v>
      </c>
      <c r="D11" s="10">
        <f>'Actual Attachment H'!D56</f>
        <v>3057233661.9221539</v>
      </c>
      <c r="F11" s="10">
        <f>'Projected Attachment H'!D58</f>
        <v>3101555423.2633877</v>
      </c>
    </row>
    <row r="13" spans="1:6" x14ac:dyDescent="0.25">
      <c r="B13" s="21" t="s">
        <v>955</v>
      </c>
    </row>
    <row r="14" spans="1:6" x14ac:dyDescent="0.25">
      <c r="A14" s="1">
        <f>A11+1</f>
        <v>2</v>
      </c>
      <c r="B14" t="s">
        <v>46</v>
      </c>
      <c r="C14" t="str">
        <f>'Actual Attachment H'!$I$1&amp;", Ln. "&amp;'Actual Attachment H'!A84&amp;", Col. [c]"</f>
        <v>Attachment H (Actuals), Ln. 46, Col. [c]</v>
      </c>
      <c r="D14" s="10">
        <f>'Actual Attachment H'!D84</f>
        <v>23716836</v>
      </c>
      <c r="E14" s="170">
        <f>D14/$D$11</f>
        <v>7.7576131309141328E-3</v>
      </c>
      <c r="F14" s="10">
        <f>IF($D$52="Yes",$F$11*E14,IF($D$53="Max",D14*(1+$D$49),D14))</f>
        <v>24060667.077765997</v>
      </c>
    </row>
    <row r="15" spans="1:6" x14ac:dyDescent="0.25">
      <c r="A15" s="1">
        <f>A14+1</f>
        <v>3</v>
      </c>
      <c r="B15" t="s">
        <v>948</v>
      </c>
      <c r="C15" t="str">
        <f>'Actual Attachment H'!$I$1&amp;", Ln. "&amp;'Actual Attachment H'!A85&amp;", Col. [c]"</f>
        <v>Attachment H (Actuals), Ln. 47, Col. [c]</v>
      </c>
      <c r="D15" s="10">
        <f>'Actual Attachment H'!D85</f>
        <v>3483962</v>
      </c>
      <c r="E15" s="170">
        <f>D15/$D$11</f>
        <v>1.1395798899484679E-3</v>
      </c>
      <c r="F15" s="10">
        <f t="shared" ref="F15:F16" si="0">IF($D$52="Yes",$F$11*E15,IF($D$53="Max",D15*(1+$D$49),D15))</f>
        <v>3534470.1879115654</v>
      </c>
    </row>
    <row r="16" spans="1:6" x14ac:dyDescent="0.25">
      <c r="A16" s="1">
        <f>A15+1</f>
        <v>4</v>
      </c>
      <c r="B16" t="s">
        <v>949</v>
      </c>
      <c r="C16" t="str">
        <f>'Actual Attachment H'!$I$1&amp;", Ln. "&amp;'Actual Attachment H'!A86&amp;", Col. [c]"</f>
        <v>Attachment H (Actuals), Ln. 48, Col. [c]</v>
      </c>
      <c r="D16" s="10">
        <f>'Actual Attachment H'!D86</f>
        <v>6728666</v>
      </c>
      <c r="E16" s="170">
        <f t="shared" ref="E16" si="1">D16/$D$11</f>
        <v>2.20090014178685E-3</v>
      </c>
      <c r="F16" s="10">
        <f t="shared" si="0"/>
        <v>6826213.7708201641</v>
      </c>
    </row>
    <row r="18" spans="1:6" x14ac:dyDescent="0.25">
      <c r="B18" s="21" t="s">
        <v>956</v>
      </c>
    </row>
    <row r="19" spans="1:6" x14ac:dyDescent="0.25">
      <c r="A19" s="1">
        <f>A16+1</f>
        <v>5</v>
      </c>
      <c r="B19" t="s">
        <v>655</v>
      </c>
      <c r="C19" t="str">
        <f>'Actual Attachment H'!$I$1&amp;", Ln. "&amp;'Actual Attachment H'!A90&amp;", Col. [c]"</f>
        <v>Attachment H (Actuals), Ln. 50, Col. [c]</v>
      </c>
      <c r="D19" s="10">
        <f>'Actual Attachment H'!D90</f>
        <v>90369583</v>
      </c>
      <c r="E19" s="170">
        <f t="shared" ref="E19:E22" si="2">D19/$D$11</f>
        <v>2.9559265987926662E-2</v>
      </c>
      <c r="F19" s="10">
        <f t="shared" ref="F19:F22" si="3">IF($D$52="Yes",$F$11*E19,IF($D$53="Max",D19*(1+$D$49),D19))</f>
        <v>91679701.732538939</v>
      </c>
    </row>
    <row r="20" spans="1:6" x14ac:dyDescent="0.25">
      <c r="A20" s="1">
        <f>A19+1</f>
        <v>6</v>
      </c>
      <c r="B20" t="s">
        <v>950</v>
      </c>
      <c r="C20" t="str">
        <f>'Actual Attachment H'!$I$1&amp;", Ln. "&amp;'Actual Attachment H'!A91&amp;", Col. [c]"</f>
        <v>Attachment H (Actuals), Ln. 51, Col. [c]</v>
      </c>
      <c r="D20" s="10">
        <f>'Actual Attachment H'!D91</f>
        <v>1467519.55</v>
      </c>
      <c r="E20" s="170">
        <f t="shared" si="2"/>
        <v>4.8001550168636322E-4</v>
      </c>
      <c r="F20" s="10">
        <f t="shared" si="3"/>
        <v>1488794.6825058355</v>
      </c>
    </row>
    <row r="21" spans="1:6" x14ac:dyDescent="0.25">
      <c r="A21" s="1">
        <f>A20+1</f>
        <v>7</v>
      </c>
      <c r="B21" t="s">
        <v>951</v>
      </c>
      <c r="C21" t="str">
        <f>'Actual Attachment H'!$I$1&amp;", Ln. "&amp;'Actual Attachment H'!A92&amp;", Col. [c]"</f>
        <v>Attachment H (Actuals), Ln. 52, Col. [c]</v>
      </c>
      <c r="D21" s="10">
        <f>'Actual Attachment H'!D92</f>
        <v>4852276</v>
      </c>
      <c r="E21" s="170">
        <f t="shared" si="2"/>
        <v>1.5871459419131415E-3</v>
      </c>
      <c r="F21" s="10">
        <f t="shared" si="3"/>
        <v>4922621.1036511818</v>
      </c>
    </row>
    <row r="22" spans="1:6" x14ac:dyDescent="0.25">
      <c r="A22" s="1">
        <f t="shared" ref="A22:A24" si="4">A21+1</f>
        <v>8</v>
      </c>
      <c r="B22" t="s">
        <v>968</v>
      </c>
      <c r="C22" t="str">
        <f>'Actual Attachment H'!$I$1&amp;", Ln. "&amp;'Actual Attachment H'!A93&amp;", Col. [f]"</f>
        <v>Attachment H (Actuals), Ln. 53, Col. [f]</v>
      </c>
      <c r="D22" s="10">
        <f>'Actual Attachment H'!I93</f>
        <v>623933.70619233127</v>
      </c>
      <c r="E22" s="170">
        <f t="shared" si="2"/>
        <v>2.0408440282580482E-4</v>
      </c>
      <c r="F22" s="10">
        <f t="shared" si="3"/>
        <v>632979.08638784476</v>
      </c>
    </row>
    <row r="23" spans="1:6" x14ac:dyDescent="0.25">
      <c r="A23" s="1">
        <f t="shared" si="4"/>
        <v>9</v>
      </c>
      <c r="B23" t="s">
        <v>952</v>
      </c>
      <c r="C23" s="32" t="s">
        <v>966</v>
      </c>
      <c r="D23" s="37"/>
      <c r="F23" s="37">
        <f>(157500+1614300)/3</f>
        <v>590600</v>
      </c>
    </row>
    <row r="24" spans="1:6" x14ac:dyDescent="0.25">
      <c r="A24" s="1">
        <f t="shared" si="4"/>
        <v>10</v>
      </c>
      <c r="B24" t="s">
        <v>953</v>
      </c>
      <c r="C24" t="str">
        <f>'Actual Attachment H'!$I$1&amp;", Ln. "&amp;'Actual Attachment H'!A94&amp;", Col. [c]"</f>
        <v>Attachment H (Actuals), Ln. 54, Col. [c]</v>
      </c>
      <c r="D24" s="10">
        <f>'Actual Attachment H'!D94</f>
        <v>-3848723</v>
      </c>
      <c r="E24" s="170">
        <f t="shared" ref="E24" si="5">D24/$D$11</f>
        <v>-1.2588906919140156E-3</v>
      </c>
      <c r="F24" s="10">
        <f t="shared" ref="F24" si="6">IF($D$52="Yes",$F$11*E24,IF($D$53="Max",D24*(1+$D$49),D24))</f>
        <v>-3904519.2528017135</v>
      </c>
    </row>
    <row r="26" spans="1:6" x14ac:dyDescent="0.25">
      <c r="B26" s="21" t="s">
        <v>57</v>
      </c>
    </row>
    <row r="27" spans="1:6" x14ac:dyDescent="0.25">
      <c r="A27" s="1">
        <f>A24+1</f>
        <v>11</v>
      </c>
      <c r="B27" t="s">
        <v>527</v>
      </c>
      <c r="C27" t="str">
        <f>'Actual Attachment H'!$I$1&amp;", Ln. "&amp;'Actual Attachment H'!A111&amp;", Col. [c]"</f>
        <v>Attachment H (Actuals), Ln. 65, Col. [c]</v>
      </c>
      <c r="D27" s="10">
        <f>'Actual Attachment H'!D111</f>
        <v>9285435</v>
      </c>
      <c r="E27" s="170">
        <f t="shared" ref="E27:E30" si="7">D27/$D$11</f>
        <v>3.0372016099554627E-3</v>
      </c>
      <c r="F27" s="10">
        <f t="shared" ref="F27:F30" si="8">IF($D$52="Yes",$F$11*E27,IF($D$53="Max",D27*(1+$D$49),D27))</f>
        <v>9420049.1249016579</v>
      </c>
    </row>
    <row r="28" spans="1:6" x14ac:dyDescent="0.25">
      <c r="A28" s="1">
        <f>A27+1</f>
        <v>12</v>
      </c>
      <c r="B28" t="s">
        <v>542</v>
      </c>
      <c r="C28" t="str">
        <f>'Actual Attachment H'!$I$1&amp;", Ln. "&amp;'Actual Attachment H'!A112&amp;", Col. [c]"</f>
        <v>Attachment H (Actuals), Ln. 66, Col. [c]</v>
      </c>
      <c r="D28" s="10">
        <f>'Actual Attachment H'!D112</f>
        <v>0</v>
      </c>
      <c r="E28" s="170">
        <f t="shared" si="7"/>
        <v>0</v>
      </c>
      <c r="F28" s="10">
        <f t="shared" si="8"/>
        <v>0</v>
      </c>
    </row>
    <row r="29" spans="1:6" x14ac:dyDescent="0.25">
      <c r="A29" s="1">
        <f>A28+1</f>
        <v>13</v>
      </c>
      <c r="B29" t="s">
        <v>553</v>
      </c>
      <c r="C29" t="str">
        <f>'Actual Attachment H'!$I$1&amp;", Ln. "&amp;'Actual Attachment H'!A114&amp;", Col. [c]"</f>
        <v>Attachment H (Actuals), Ln. 68, Col. [c]</v>
      </c>
      <c r="D29" s="10">
        <f>'Actual Attachment H'!D114</f>
        <v>10007659</v>
      </c>
      <c r="E29" s="170">
        <f t="shared" si="7"/>
        <v>3.2734360885284613E-3</v>
      </c>
      <c r="F29" s="10">
        <f t="shared" si="8"/>
        <v>10152743.453081541</v>
      </c>
    </row>
    <row r="30" spans="1:6" x14ac:dyDescent="0.25">
      <c r="A30" s="1">
        <f>A29+1</f>
        <v>14</v>
      </c>
      <c r="B30" t="s">
        <v>954</v>
      </c>
      <c r="C30" t="str">
        <f>'Actual Attachment H'!$I$1&amp;", Ln. "&amp;'Actual Attachment H'!A115&amp;", Col. [c]"</f>
        <v>Attachment H (Actuals), Ln. 69, Col. [c]</v>
      </c>
      <c r="D30" s="10">
        <f>'Actual Attachment H'!D115</f>
        <v>118920</v>
      </c>
      <c r="E30" s="170">
        <f t="shared" si="7"/>
        <v>3.8897910055468976E-5</v>
      </c>
      <c r="F30" s="10">
        <f t="shared" si="8"/>
        <v>120644.02388615126</v>
      </c>
    </row>
    <row r="32" spans="1:6" x14ac:dyDescent="0.25">
      <c r="B32" s="21" t="s">
        <v>957</v>
      </c>
    </row>
    <row r="33" spans="1:6" x14ac:dyDescent="0.25">
      <c r="A33" s="1">
        <f>A30+1</f>
        <v>15</v>
      </c>
      <c r="B33" t="s">
        <v>242</v>
      </c>
      <c r="C33" t="str">
        <f>'A1 (FF1 Inputs)'!$E$1&amp;", Ln. "&amp;'A1 (FF1 Inputs)'!A80</f>
        <v>Worksheet A1, Ln. 51</v>
      </c>
      <c r="D33" s="10">
        <f>'A1 (FF1 Inputs)'!E80</f>
        <v>652858</v>
      </c>
      <c r="E33" s="170">
        <f t="shared" ref="E33:E37" si="9">D33/$D$11</f>
        <v>2.1354533941299501E-4</v>
      </c>
      <c r="F33" s="10">
        <f t="shared" ref="F33:F37" si="10">IF($D$52="Yes",$F$11*E33,IF($D$53="Max",D33*(1+$D$49),D33))</f>
        <v>662322.70556899556</v>
      </c>
    </row>
    <row r="34" spans="1:6" x14ac:dyDescent="0.25">
      <c r="A34" s="1">
        <f>A33+1</f>
        <v>16</v>
      </c>
      <c r="B34" t="s">
        <v>243</v>
      </c>
      <c r="C34" t="str">
        <f>'A1 (FF1 Inputs)'!$E$1&amp;", Ln. "&amp;'A1 (FF1 Inputs)'!A81</f>
        <v>Worksheet A1, Ln. 52</v>
      </c>
      <c r="D34" s="10">
        <f>'A1 (FF1 Inputs)'!E81</f>
        <v>678638</v>
      </c>
      <c r="E34" s="170">
        <f t="shared" si="9"/>
        <v>2.2197779922824887E-4</v>
      </c>
      <c r="F34" s="10">
        <f t="shared" si="10"/>
        <v>688476.44704044668</v>
      </c>
    </row>
    <row r="35" spans="1:6" x14ac:dyDescent="0.25">
      <c r="A35" s="1">
        <f>A34+1</f>
        <v>17</v>
      </c>
      <c r="B35" t="s">
        <v>244</v>
      </c>
      <c r="C35" t="str">
        <f>'A1 (FF1 Inputs)'!$E$1&amp;", Ln. "&amp;'A1 (FF1 Inputs)'!A82</f>
        <v>Worksheet A1, Ln. 53</v>
      </c>
      <c r="D35" s="10">
        <f>'A1 (FF1 Inputs)'!E82</f>
        <v>0</v>
      </c>
      <c r="E35" s="170">
        <f t="shared" si="9"/>
        <v>0</v>
      </c>
      <c r="F35" s="10">
        <f t="shared" si="10"/>
        <v>0</v>
      </c>
    </row>
    <row r="36" spans="1:6" x14ac:dyDescent="0.25">
      <c r="A36" s="1">
        <f>A35+1</f>
        <v>18</v>
      </c>
      <c r="B36" t="s">
        <v>245</v>
      </c>
      <c r="C36" t="str">
        <f>'A1 (FF1 Inputs)'!$E$1&amp;", Ln. "&amp;'A1 (FF1 Inputs)'!A83</f>
        <v>Worksheet A1, Ln. 54</v>
      </c>
      <c r="D36" s="10">
        <f>'A1 (FF1 Inputs)'!E83</f>
        <v>0</v>
      </c>
      <c r="E36" s="170">
        <f t="shared" si="9"/>
        <v>0</v>
      </c>
      <c r="F36" s="10">
        <f t="shared" si="10"/>
        <v>0</v>
      </c>
    </row>
    <row r="37" spans="1:6" x14ac:dyDescent="0.25">
      <c r="A37" s="1">
        <f>A34+1</f>
        <v>17</v>
      </c>
      <c r="B37" t="s">
        <v>246</v>
      </c>
      <c r="C37" t="str">
        <f>'A1 (FF1 Inputs)'!$E$1&amp;", Ln. "&amp;'A1 (FF1 Inputs)'!A84</f>
        <v>Worksheet A1, Ln. 55</v>
      </c>
      <c r="D37" s="10">
        <f>'A1 (FF1 Inputs)'!E84</f>
        <v>0</v>
      </c>
      <c r="E37" s="170">
        <f t="shared" si="9"/>
        <v>0</v>
      </c>
      <c r="F37" s="10">
        <f t="shared" si="10"/>
        <v>0</v>
      </c>
    </row>
    <row r="39" spans="1:6" x14ac:dyDescent="0.25">
      <c r="A39" s="1">
        <f>A37+1</f>
        <v>18</v>
      </c>
      <c r="B39" t="str">
        <f>"Net Plant in Service for Year Prior to Actual True-Up Year ("&amp;YEAR('A1 (FF1 Inputs)'!E12)-1&amp;")"</f>
        <v>Net Plant in Service for Year Prior to Actual True-Up Year (2019)</v>
      </c>
      <c r="C39" t="s">
        <v>967</v>
      </c>
      <c r="D39" s="37">
        <f>4644983450-2381984861</f>
        <v>2262998589</v>
      </c>
    </row>
    <row r="41" spans="1:6" x14ac:dyDescent="0.25">
      <c r="B41" s="21" t="s">
        <v>543</v>
      </c>
    </row>
    <row r="42" spans="1:6" x14ac:dyDescent="0.25">
      <c r="A42" s="1">
        <f>A39+1</f>
        <v>19</v>
      </c>
      <c r="B42" t="s">
        <v>543</v>
      </c>
      <c r="C42" t="str">
        <f>'Actual Attachment H'!$I$1&amp;", Ln. "&amp;'Actual Attachment H'!A113&amp;", Col. [c]"</f>
        <v>Attachment H (Actuals), Ln. 67, Col. [c]</v>
      </c>
      <c r="D42" s="10">
        <f>'Actual Attachment H'!D113</f>
        <v>28273987</v>
      </c>
      <c r="E42" s="170">
        <f>D42/D39</f>
        <v>1.2494036513073584E-2</v>
      </c>
      <c r="F42" s="10">
        <f>D11*E42</f>
        <v>38197189.00105305</v>
      </c>
    </row>
    <row r="43" spans="1:6" ht="5.25" customHeight="1" x14ac:dyDescent="0.25">
      <c r="A43" s="14"/>
      <c r="B43" s="5"/>
      <c r="C43" s="5"/>
      <c r="D43" s="5"/>
      <c r="E43" s="5"/>
      <c r="F43" s="5"/>
    </row>
    <row r="44" spans="1:6" ht="5.25" customHeight="1" x14ac:dyDescent="0.25"/>
    <row r="45" spans="1:6" x14ac:dyDescent="0.25">
      <c r="A45" s="22" t="str">
        <f>note</f>
        <v>Notes and Sources:</v>
      </c>
    </row>
    <row r="46" spans="1:6" ht="86.25" customHeight="1" x14ac:dyDescent="0.25">
      <c r="A46" s="85">
        <v>1</v>
      </c>
      <c r="B46" s="274" t="str">
        <f>"The charge factor is calculated by dividing the individual O&amp;M and A&amp;G expenses on lines "&amp;A14&amp;" through "&amp;A37&amp;" (column "&amp;D8&amp;") by the actual net plant in service found on line "&amp;A11&amp;". This charge factor is only used if the percentage change between projected and actual net plant (as shown on line "&amp;A11&amp;") is less than 2.5%."&amp;" In which case, the charge factors listed in Column "&amp;E8&amp;" are multiplied by the projected net plant on line "&amp;A11&amp;" to respective projected expenses."&amp;" If the percentage change in net plant is greater than 2.5%, then each projected expense item will be calculated by increasing the corresponding actual expense item by 2.5%."&amp;" If the percentage change is less than 0%, then each projected expense item will be calculated the same as corresponding actual expense."</f>
        <v>The charge factor is calculated by dividing the individual O&amp;M and A&amp;G expenses on lines 2 through 17 (column [c]) by the actual net plant in service found on line 1. This charge factor is only used if the percentage change between projected and actual net plant (as shown on line 1) is less than 2.5%. In which case, the charge factors listed in Column [d] are multiplied by the projected net plant on line 1 to respective projected expenses. If the percentage change in net plant is greater than 2.5%, then each projected expense item will be calculated by increasing the corresponding actual expense item by 2.5%. If the percentage change is less than 0%, then each projected expense item will be calculated the same as corresponding actual expense.</v>
      </c>
      <c r="C46" s="274"/>
      <c r="D46" s="274"/>
      <c r="E46" s="274"/>
      <c r="F46" s="274"/>
    </row>
    <row r="47" spans="1:6" ht="16.5" thickBot="1" x14ac:dyDescent="0.3"/>
    <row r="48" spans="1:6" x14ac:dyDescent="0.25">
      <c r="B48" t="s">
        <v>959</v>
      </c>
      <c r="C48" s="169" t="str">
        <f>"Ln. "&amp;A11&amp;", Cols. ("&amp;F8&amp;" - "&amp;D8&amp;") / Col. "&amp;D8</f>
        <v>Ln. 1, Cols. ([e] - [c]) / Col. [c]</v>
      </c>
      <c r="D48" s="171">
        <f>(F11-D11)/D11</f>
        <v>1.449734179407393E-2</v>
      </c>
    </row>
    <row r="49" spans="1:6" x14ac:dyDescent="0.25">
      <c r="B49" t="s">
        <v>960</v>
      </c>
      <c r="C49" s="169" t="s">
        <v>1055</v>
      </c>
      <c r="D49" s="193">
        <v>2.5000000000000001E-2</v>
      </c>
    </row>
    <row r="50" spans="1:6" ht="16.5" thickBot="1" x14ac:dyDescent="0.3">
      <c r="B50" t="s">
        <v>961</v>
      </c>
      <c r="C50" s="169" t="s">
        <v>1056</v>
      </c>
      <c r="D50" s="194">
        <v>0</v>
      </c>
    </row>
    <row r="51" spans="1:6" ht="7.5" customHeight="1" thickBot="1" x14ac:dyDescent="0.3"/>
    <row r="52" spans="1:6" x14ac:dyDescent="0.25">
      <c r="B52" t="s">
        <v>962</v>
      </c>
      <c r="C52" s="169" t="s">
        <v>963</v>
      </c>
      <c r="D52" s="171" t="str">
        <f>IF(AND(D48&lt;D49,D48&gt;D50),"Yes","No")</f>
        <v>Yes</v>
      </c>
    </row>
    <row r="53" spans="1:6" ht="16.5" thickBot="1" x14ac:dyDescent="0.3">
      <c r="B53" t="s">
        <v>964</v>
      </c>
      <c r="C53" s="169" t="s">
        <v>965</v>
      </c>
      <c r="D53" s="172" t="str">
        <f>IF(D52="Yes","No",IF(D48&gt;D49,"Max","Min"))</f>
        <v>No</v>
      </c>
    </row>
    <row r="54" spans="1:6" ht="7.5" customHeight="1" x14ac:dyDescent="0.25"/>
    <row r="55" spans="1:6" ht="51.75" customHeight="1" x14ac:dyDescent="0.25">
      <c r="A55" s="85">
        <v>2</v>
      </c>
      <c r="B55" s="274" t="str">
        <f>"Property tax expenses relate to plant balances as of December 31, 2 Years prior to the expense period. Projected property taxes in Column "&amp;F8&amp;" are calculated by multiplying the charge factor in Column "&amp;E8&amp;" by the actual net plant in service balance shown on line "&amp;A11&amp;". Property taxes charge factor calculated by dividing the actual property expense shown on line "&amp;A42&amp;" by the net plant in service for the year prior to actual true-up year as shown on line "&amp;A39&amp;"."</f>
        <v>Property tax expenses relate to plant balances as of December 31, 2 Years prior to the expense period. Projected property taxes in Column [e] are calculated by multiplying the charge factor in Column [d] by the actual net plant in service balance shown on line 1. Property taxes charge factor calculated by dividing the actual property expense shown on line 19 by the net plant in service for the year prior to actual true-up year as shown on line 18.</v>
      </c>
      <c r="C55" s="274"/>
      <c r="D55" s="274"/>
      <c r="E55" s="274"/>
      <c r="F55" s="274"/>
    </row>
    <row r="56" spans="1:6" ht="5.25" customHeight="1" thickBot="1" x14ac:dyDescent="0.3">
      <c r="A56" s="24"/>
      <c r="B56" s="4"/>
      <c r="C56" s="4"/>
      <c r="D56" s="4"/>
      <c r="E56" s="4"/>
      <c r="F56" s="4"/>
    </row>
    <row r="57" spans="1:6" ht="5.25" customHeight="1" thickTop="1" x14ac:dyDescent="0.25"/>
  </sheetData>
  <mergeCells count="2">
    <mergeCell ref="B46:F46"/>
    <mergeCell ref="B55:F55"/>
  </mergeCells>
  <pageMargins left="0.7" right="0.7" top="0.75" bottom="0.75" header="0.3" footer="0.3"/>
  <pageSetup scale="73" fitToHeight="0" orientation="landscape" horizontalDpi="1200" verticalDpi="1200" r:id="rId1"/>
  <headerFooter>
    <oddFooter>&amp;L&amp;6{W0327924.2 }</oddFooter>
  </headerFooter>
  <rowBreaks count="1" manualBreakCount="1">
    <brk id="42" max="16383" man="1"/>
  </rowBreaks>
  <ignoredErrors>
    <ignoredError sqref="F23" formula="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H33"/>
  <sheetViews>
    <sheetView workbookViewId="0"/>
  </sheetViews>
  <sheetFormatPr defaultRowHeight="15.75" x14ac:dyDescent="0.25"/>
  <cols>
    <col min="1" max="1" width="5" style="1" customWidth="1"/>
    <col min="2" max="2" width="55.5" customWidth="1"/>
    <col min="3" max="3" width="64.125" customWidth="1"/>
    <col min="4" max="7" width="12.625" customWidth="1"/>
    <col min="8" max="8" width="13.25" bestFit="1" customWidth="1"/>
  </cols>
  <sheetData>
    <row r="1" spans="1:8" x14ac:dyDescent="0.25">
      <c r="A1" s="6" t="str">
        <f>epe</f>
        <v>El Paso Electric Company</v>
      </c>
      <c r="H1" s="8" t="s">
        <v>944</v>
      </c>
    </row>
    <row r="2" spans="1:8" x14ac:dyDescent="0.25">
      <c r="A2" t="str">
        <f>frtp</f>
        <v>Formula Rate Template (Projected)</v>
      </c>
    </row>
    <row r="3" spans="1:8" x14ac:dyDescent="0.25">
      <c r="A3" t="s">
        <v>978</v>
      </c>
    </row>
    <row r="4" spans="1:8" x14ac:dyDescent="0.25">
      <c r="A4" t="str">
        <f>"12 Months Ended December 31, "&amp;YEAR('A1 (FF1 Inputs)'!$E$12)+2</f>
        <v>12 Months Ended December 31, 2022</v>
      </c>
    </row>
    <row r="5" spans="1:8" ht="5.25" customHeight="1" thickBot="1" x14ac:dyDescent="0.3">
      <c r="A5" s="4"/>
      <c r="B5" s="4"/>
      <c r="C5" s="4"/>
      <c r="D5" s="4"/>
      <c r="E5" s="4"/>
      <c r="F5" s="4"/>
      <c r="G5" s="4"/>
      <c r="H5" s="4"/>
    </row>
    <row r="6" spans="1:8" ht="5.25" customHeight="1" thickTop="1" x14ac:dyDescent="0.25">
      <c r="A6"/>
    </row>
    <row r="7" spans="1:8" s="40" customFormat="1" x14ac:dyDescent="0.25">
      <c r="A7" s="267" t="str">
        <f>ln</f>
        <v>Line No.</v>
      </c>
      <c r="B7" s="40" t="str">
        <f>des</f>
        <v>Description</v>
      </c>
      <c r="C7" s="40" t="s">
        <v>566</v>
      </c>
      <c r="D7" s="40" t="s">
        <v>537</v>
      </c>
      <c r="E7" s="40" t="s">
        <v>538</v>
      </c>
      <c r="F7" s="40" t="s">
        <v>541</v>
      </c>
      <c r="G7" s="40" t="s">
        <v>546</v>
      </c>
      <c r="H7" s="40" t="s">
        <v>283</v>
      </c>
    </row>
    <row r="8" spans="1:8" s="1" customFormat="1" x14ac:dyDescent="0.25">
      <c r="A8" s="267"/>
      <c r="B8" s="2" t="s">
        <v>7</v>
      </c>
      <c r="C8" s="176" t="s">
        <v>8</v>
      </c>
      <c r="D8" s="2" t="s">
        <v>9</v>
      </c>
      <c r="E8" s="1" t="s">
        <v>10</v>
      </c>
      <c r="F8" s="1" t="s">
        <v>11</v>
      </c>
      <c r="G8" s="1" t="s">
        <v>12</v>
      </c>
      <c r="H8" s="1" t="s">
        <v>91</v>
      </c>
    </row>
    <row r="9" spans="1:8" ht="5.25" customHeight="1" x14ac:dyDescent="0.25">
      <c r="A9" s="5"/>
      <c r="B9" s="5"/>
      <c r="C9" s="5"/>
      <c r="D9" s="5"/>
      <c r="E9" s="5"/>
      <c r="F9" s="5"/>
      <c r="G9" s="5"/>
      <c r="H9" s="5"/>
    </row>
    <row r="10" spans="1:8" ht="5.25" customHeight="1" x14ac:dyDescent="0.25">
      <c r="A10"/>
    </row>
    <row r="11" spans="1:8" x14ac:dyDescent="0.25">
      <c r="A11" s="1">
        <v>1</v>
      </c>
      <c r="B11" t="s">
        <v>1041</v>
      </c>
      <c r="C11" s="175" t="s">
        <v>708</v>
      </c>
      <c r="D11" s="59">
        <v>0.21</v>
      </c>
      <c r="E11" s="59">
        <v>5.8999999999999997E-2</v>
      </c>
      <c r="F11" s="59">
        <v>4.9000000000000002E-2</v>
      </c>
      <c r="G11" s="59">
        <v>7.4999999999999997E-3</v>
      </c>
      <c r="H11" s="60"/>
    </row>
    <row r="12" spans="1:8" ht="7.5" customHeight="1" x14ac:dyDescent="0.25">
      <c r="C12" s="191"/>
      <c r="D12" s="61"/>
      <c r="E12" s="61"/>
      <c r="F12" s="61"/>
      <c r="G12" s="61"/>
      <c r="H12" s="60"/>
    </row>
    <row r="13" spans="1:8" x14ac:dyDescent="0.25">
      <c r="A13" s="1">
        <f>A11+1</f>
        <v>2</v>
      </c>
      <c r="B13" t="s">
        <v>709</v>
      </c>
      <c r="C13" t="str">
        <f>"-1.0 x Sum (Ln. "&amp;A17&amp;", Cols. "&amp;E8&amp;", "&amp;F8&amp;", and "&amp;G8&amp;") x Ln. "&amp;A11&amp;", Col. "&amp;D8</f>
        <v>-1.0 x Sum (Ln. 4, Cols. [d], [e], and [f]) x Ln. 1, Col. [c]</v>
      </c>
      <c r="D13" s="61">
        <f>-SUM(E17:G17)*D11</f>
        <v>-3.7208650499999996E-3</v>
      </c>
      <c r="E13" s="61"/>
      <c r="F13" s="61"/>
      <c r="G13" s="61"/>
      <c r="H13" s="60"/>
    </row>
    <row r="14" spans="1:8" ht="7.5" customHeight="1" x14ac:dyDescent="0.25">
      <c r="D14" s="60"/>
      <c r="E14" s="60"/>
      <c r="F14" s="60"/>
      <c r="G14" s="60"/>
      <c r="H14" s="60"/>
    </row>
    <row r="15" spans="1:8" x14ac:dyDescent="0.25">
      <c r="A15" s="1">
        <f>A13+1</f>
        <v>3</v>
      </c>
      <c r="B15" t="s">
        <v>1042</v>
      </c>
      <c r="C15" t="s">
        <v>309</v>
      </c>
      <c r="D15" s="60"/>
      <c r="E15" s="59">
        <v>0.18723500000000001</v>
      </c>
      <c r="F15" s="59">
        <v>3.1460000000000002E-2</v>
      </c>
      <c r="G15" s="59">
        <v>0.68400000000000005</v>
      </c>
      <c r="H15" s="61"/>
    </row>
    <row r="16" spans="1:8" ht="7.5" customHeight="1" x14ac:dyDescent="0.25">
      <c r="D16" s="60"/>
      <c r="E16" s="60"/>
      <c r="F16" s="60"/>
      <c r="G16" s="60"/>
      <c r="H16" s="61"/>
    </row>
    <row r="17" spans="1:8" ht="18.75" x14ac:dyDescent="0.25">
      <c r="A17" s="1">
        <f>A15+1</f>
        <v>4</v>
      </c>
      <c r="B17" t="s">
        <v>1043</v>
      </c>
      <c r="C17" t="str">
        <f>"Lns. ("&amp;A11&amp;" x "&amp;A15&amp;")"</f>
        <v>Lns. (1 x 3)</v>
      </c>
      <c r="D17" s="60">
        <f>D11+D13</f>
        <v>0.20627913495</v>
      </c>
      <c r="E17" s="60">
        <f>E11*E15</f>
        <v>1.1046864999999999E-2</v>
      </c>
      <c r="F17" s="60">
        <f t="shared" ref="F17:G17" si="0">F11*F15</f>
        <v>1.5415400000000001E-3</v>
      </c>
      <c r="G17" s="60">
        <f t="shared" si="0"/>
        <v>5.13E-3</v>
      </c>
      <c r="H17" s="91">
        <f>SUM(D17:G17)</f>
        <v>0.22399753994999999</v>
      </c>
    </row>
    <row r="18" spans="1:8" ht="7.5" customHeight="1" x14ac:dyDescent="0.25">
      <c r="D18" s="60"/>
      <c r="E18" s="60"/>
      <c r="F18" s="60"/>
      <c r="G18" s="60"/>
      <c r="H18" s="91"/>
    </row>
    <row r="19" spans="1:8" x14ac:dyDescent="0.25">
      <c r="A19" s="1">
        <f>A17+1</f>
        <v>5</v>
      </c>
      <c r="B19" t="s">
        <v>569</v>
      </c>
      <c r="C19" s="225" t="str">
        <f>"Ln. "&amp;A17&amp;", Col. "&amp;H8&amp;" less Ln. "&amp;A17&amp;", Col. "&amp;D8</f>
        <v>Ln. 4, Col. [g] less Ln. 4, Col. [c]</v>
      </c>
      <c r="D19" s="226"/>
      <c r="E19" s="226"/>
      <c r="F19" s="226"/>
      <c r="G19" s="226"/>
      <c r="H19" s="226">
        <f>H17-D17</f>
        <v>1.7718404999999993E-2</v>
      </c>
    </row>
    <row r="20" spans="1:8" ht="7.5" customHeight="1" x14ac:dyDescent="0.25">
      <c r="D20" s="60"/>
      <c r="E20" s="60"/>
      <c r="F20" s="60"/>
      <c r="G20" s="60"/>
      <c r="H20" s="61"/>
    </row>
    <row r="21" spans="1:8" x14ac:dyDescent="0.25">
      <c r="A21" s="1">
        <f t="shared" ref="A21" si="1">A19+1</f>
        <v>6</v>
      </c>
      <c r="B21" t="s">
        <v>568</v>
      </c>
      <c r="C21" t="str">
        <f>"Lns. ("&amp;A17&amp;" - "&amp;A19&amp;")"</f>
        <v>Lns. (4 - 5)</v>
      </c>
      <c r="E21" s="60"/>
      <c r="F21" s="60"/>
      <c r="G21" s="60"/>
      <c r="H21" s="61">
        <f>H17-H19</f>
        <v>0.20627913495</v>
      </c>
    </row>
    <row r="22" spans="1:8" ht="7.5" customHeight="1" x14ac:dyDescent="0.25">
      <c r="D22" s="60"/>
      <c r="E22" s="60"/>
      <c r="F22" s="60"/>
      <c r="G22" s="60"/>
      <c r="H22" s="61"/>
    </row>
    <row r="23" spans="1:8" x14ac:dyDescent="0.25">
      <c r="A23" s="1">
        <f t="shared" ref="A23" si="2">A21+1</f>
        <v>7</v>
      </c>
      <c r="B23" t="s">
        <v>567</v>
      </c>
      <c r="C23" t="s">
        <v>309</v>
      </c>
      <c r="D23" s="60"/>
      <c r="E23" s="60"/>
      <c r="F23" s="60"/>
      <c r="H23" s="59">
        <v>0</v>
      </c>
    </row>
    <row r="24" spans="1:8" ht="7.5" customHeight="1" x14ac:dyDescent="0.25">
      <c r="D24" s="60"/>
      <c r="E24" s="60"/>
      <c r="F24" s="60"/>
      <c r="H24" s="61"/>
    </row>
    <row r="25" spans="1:8" x14ac:dyDescent="0.25">
      <c r="A25" s="1">
        <f>A23+1</f>
        <v>8</v>
      </c>
      <c r="B25" t="s">
        <v>570</v>
      </c>
      <c r="C25" t="str">
        <f>"(Ln. "&amp;A21&amp;" x (1.0 - Ln. "&amp;A19&amp;") + Ln. "&amp;A19&amp;" x (1.0 - Ln. "&amp;A21&amp;" x Ln. "&amp;A23&amp;")) / (1.0 - Lns. ("&amp;A19&amp;" x "&amp;A21&amp;" x "&amp;A23&amp;"))"</f>
        <v>(Ln. 6 x (1.0 - Ln. 5) + Ln. 5 x (1.0 - Ln. 6 x Ln. 7)) / (1.0 - Lns. (5 x 6 x 7))</v>
      </c>
      <c r="D25" s="60"/>
      <c r="E25" s="60"/>
      <c r="F25" s="60"/>
      <c r="H25" s="91">
        <f>(H21*(1-H19)+H19*(1-H21*H23))/(1-H19*H21*H23)</f>
        <v>0.22034260269390624</v>
      </c>
    </row>
    <row r="26" spans="1:8" ht="5.25" customHeight="1" x14ac:dyDescent="0.25">
      <c r="A26" s="14"/>
      <c r="B26" s="5"/>
      <c r="C26" s="5"/>
      <c r="D26" s="5"/>
      <c r="E26" s="5"/>
      <c r="F26" s="5"/>
      <c r="G26" s="5"/>
      <c r="H26" s="5"/>
    </row>
    <row r="27" spans="1:8" ht="5.25" customHeight="1" x14ac:dyDescent="0.25"/>
    <row r="28" spans="1:8" x14ac:dyDescent="0.25">
      <c r="A28" s="22" t="str">
        <f>note</f>
        <v>Notes and Sources:</v>
      </c>
    </row>
    <row r="29" spans="1:8" ht="18" customHeight="1" x14ac:dyDescent="0.25">
      <c r="A29" s="23">
        <v>1</v>
      </c>
      <c r="B29" t="str">
        <f>"Federal effective rate (column "&amp;D8&amp;") equals the sum on lines "&amp;A11&amp;" and "&amp;A13&amp;". Total effective rate equals the sum of line "&amp;A17&amp;", columns "&amp;D8&amp;" through "&amp;G8&amp;"."</f>
        <v>Federal effective rate (column [c]) equals the sum on lines 1 and 2. Total effective rate equals the sum of line 4, columns [c] through [f].</v>
      </c>
    </row>
    <row r="30" spans="1:8" ht="5.25" customHeight="1" thickBot="1" x14ac:dyDescent="0.3">
      <c r="A30" s="24"/>
      <c r="B30" s="4"/>
      <c r="C30" s="4"/>
      <c r="D30" s="4"/>
      <c r="E30" s="4"/>
      <c r="F30" s="4"/>
      <c r="G30" s="4"/>
      <c r="H30" s="4"/>
    </row>
    <row r="31" spans="1:8" ht="5.25" customHeight="1" thickTop="1" x14ac:dyDescent="0.25"/>
    <row r="33" spans="3:8" x14ac:dyDescent="0.25">
      <c r="C33" s="60"/>
      <c r="D33" s="60"/>
      <c r="E33" s="60"/>
      <c r="F33" s="60"/>
      <c r="G33" s="60"/>
      <c r="H33" s="61"/>
    </row>
  </sheetData>
  <mergeCells count="1">
    <mergeCell ref="A7:A8"/>
  </mergeCells>
  <hyperlinks>
    <hyperlink ref="C11" r:id="rId1"/>
  </hyperlinks>
  <pageMargins left="0.7" right="0.7" top="0.75" bottom="0.75" header="0.3" footer="0.3"/>
  <pageSetup scale="61" orientation="landscape" horizontalDpi="1200" verticalDpi="1200" r:id="rId2"/>
  <headerFooter>
    <oddFooter>&amp;L&amp;6{W0327924.2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AS34"/>
  <sheetViews>
    <sheetView workbookViewId="0"/>
  </sheetViews>
  <sheetFormatPr defaultRowHeight="15.75" x14ac:dyDescent="0.25"/>
  <cols>
    <col min="1" max="1" width="4.25" style="1" customWidth="1"/>
    <col min="2" max="2" width="58.75" bestFit="1" customWidth="1"/>
    <col min="3" max="3" width="10.75" customWidth="1"/>
    <col min="4" max="4" width="12.75" customWidth="1"/>
    <col min="5" max="5" width="10.625" customWidth="1"/>
    <col min="6" max="6" width="14.125" customWidth="1"/>
    <col min="7" max="7" width="13.25" customWidth="1"/>
    <col min="8" max="8" width="6.25" customWidth="1"/>
    <col min="10" max="35" width="10.625" customWidth="1"/>
    <col min="36" max="37" width="15.25" customWidth="1"/>
    <col min="38" max="40" width="15.75" customWidth="1"/>
    <col min="41" max="41" width="18" customWidth="1"/>
    <col min="42" max="42" width="16.25" customWidth="1"/>
    <col min="43" max="44" width="15.75" customWidth="1"/>
    <col min="45" max="45" width="28.75" customWidth="1"/>
  </cols>
  <sheetData>
    <row r="1" spans="1:45" x14ac:dyDescent="0.25">
      <c r="A1" s="6" t="str">
        <f>epe</f>
        <v>El Paso Electric Company</v>
      </c>
      <c r="I1" s="8"/>
      <c r="O1" s="8" t="str">
        <f>$AS$1</f>
        <v>Worksheet P11</v>
      </c>
      <c r="Z1" s="8" t="str">
        <f>$AS$1</f>
        <v>Worksheet P11</v>
      </c>
      <c r="AJ1" t="str">
        <f>$AS$1</f>
        <v>Worksheet P11</v>
      </c>
      <c r="AQ1" t="str">
        <f>$AS$1</f>
        <v>Worksheet P11</v>
      </c>
      <c r="AS1" s="8" t="s">
        <v>924</v>
      </c>
    </row>
    <row r="2" spans="1:45" x14ac:dyDescent="0.25">
      <c r="A2" t="str">
        <f>frtp</f>
        <v>Formula Rate Template (Projected)</v>
      </c>
      <c r="I2" s="8"/>
      <c r="AS2" s="8"/>
    </row>
    <row r="3" spans="1:45" x14ac:dyDescent="0.25">
      <c r="A3" t="s">
        <v>733</v>
      </c>
    </row>
    <row r="4" spans="1:45" x14ac:dyDescent="0.25">
      <c r="A4" t="str">
        <f>"12 Months Ended December 31, "&amp;YEAR('A1 (FF1 Inputs)'!$E$12)+2</f>
        <v>12 Months Ended December 31, 2022</v>
      </c>
    </row>
    <row r="5" spans="1:45" ht="5.25" customHeight="1" thickBo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row>
    <row r="6" spans="1:45" ht="5.25" customHeight="1" thickTop="1" x14ac:dyDescent="0.25">
      <c r="A6"/>
    </row>
    <row r="7" spans="1:45" s="3" customFormat="1" ht="15.75" customHeight="1" x14ac:dyDescent="0.25">
      <c r="A7" s="266" t="str">
        <f>ln</f>
        <v>Line No.</v>
      </c>
      <c r="B7" s="266" t="s">
        <v>735</v>
      </c>
      <c r="C7" s="282" t="s">
        <v>736</v>
      </c>
      <c r="D7" s="266" t="s">
        <v>737</v>
      </c>
      <c r="E7" s="266" t="s">
        <v>739</v>
      </c>
      <c r="F7" s="275" t="s">
        <v>631</v>
      </c>
      <c r="G7" s="282" t="s">
        <v>390</v>
      </c>
      <c r="H7" s="268" t="s">
        <v>393</v>
      </c>
      <c r="I7" s="268"/>
      <c r="J7" s="289" t="s">
        <v>633</v>
      </c>
      <c r="K7" s="279"/>
      <c r="L7" s="279"/>
      <c r="M7" s="279"/>
      <c r="N7" s="279"/>
      <c r="O7" s="279"/>
      <c r="P7" s="279" t="s">
        <v>633</v>
      </c>
      <c r="Q7" s="279"/>
      <c r="R7" s="279"/>
      <c r="S7" s="279"/>
      <c r="T7" s="279"/>
      <c r="U7" s="279"/>
      <c r="V7" s="290"/>
      <c r="W7" s="289" t="s">
        <v>634</v>
      </c>
      <c r="X7" s="279"/>
      <c r="Y7" s="279"/>
      <c r="Z7" s="279"/>
      <c r="AA7" s="279" t="s">
        <v>634</v>
      </c>
      <c r="AB7" s="279"/>
      <c r="AC7" s="279"/>
      <c r="AD7" s="279"/>
      <c r="AE7" s="279"/>
      <c r="AF7" s="279"/>
      <c r="AG7" s="279"/>
      <c r="AH7" s="279"/>
      <c r="AI7" s="290"/>
      <c r="AJ7" s="275" t="s">
        <v>641</v>
      </c>
      <c r="AK7" s="275" t="s">
        <v>642</v>
      </c>
      <c r="AL7" s="275" t="s">
        <v>643</v>
      </c>
      <c r="AM7" s="275" t="s">
        <v>644</v>
      </c>
      <c r="AN7" s="275" t="s">
        <v>645</v>
      </c>
      <c r="AO7" s="275" t="s">
        <v>630</v>
      </c>
      <c r="AP7" s="275" t="s">
        <v>600</v>
      </c>
      <c r="AQ7" s="275" t="s">
        <v>646</v>
      </c>
      <c r="AR7" s="275" t="s">
        <v>647</v>
      </c>
      <c r="AS7" s="266" t="s">
        <v>692</v>
      </c>
    </row>
    <row r="8" spans="1:45" s="3" customFormat="1" x14ac:dyDescent="0.25">
      <c r="A8" s="266"/>
      <c r="B8" s="266"/>
      <c r="C8" s="282"/>
      <c r="D8" s="266"/>
      <c r="E8" s="266"/>
      <c r="F8" s="275"/>
      <c r="G8" s="282"/>
      <c r="H8" s="3" t="s">
        <v>5</v>
      </c>
      <c r="I8" s="3" t="s">
        <v>6</v>
      </c>
      <c r="J8" s="3" t="str">
        <f>"Dec-"&amp;YEAR('A1 (FF1 Inputs)'!$E$12)+1</f>
        <v>Dec-2021</v>
      </c>
      <c r="K8" s="3" t="str">
        <f>"Jan-"&amp;YEAR('A1 (FF1 Inputs)'!$E$12)+2</f>
        <v>Jan-2022</v>
      </c>
      <c r="L8" s="3" t="str">
        <f>"Feb-"&amp;YEAR('A1 (FF1 Inputs)'!$E$12)+2</f>
        <v>Feb-2022</v>
      </c>
      <c r="M8" s="3" t="str">
        <f>"Mar-"&amp;YEAR('A1 (FF1 Inputs)'!$E$12)+2</f>
        <v>Mar-2022</v>
      </c>
      <c r="N8" s="3" t="str">
        <f>"Apr-"&amp;YEAR('A1 (FF1 Inputs)'!$E$12)+2</f>
        <v>Apr-2022</v>
      </c>
      <c r="O8" s="3" t="str">
        <f>"May-"&amp;YEAR('A1 (FF1 Inputs)'!$E$12)+2</f>
        <v>May-2022</v>
      </c>
      <c r="P8" s="3" t="str">
        <f>"Jun-"&amp;YEAR('A1 (FF1 Inputs)'!$E$12)+2</f>
        <v>Jun-2022</v>
      </c>
      <c r="Q8" s="3" t="str">
        <f>"Jul-"&amp;YEAR('A1 (FF1 Inputs)'!$E$12)+2</f>
        <v>Jul-2022</v>
      </c>
      <c r="R8" s="3" t="str">
        <f>"Aug-"&amp;YEAR('A1 (FF1 Inputs)'!$E$12)+2</f>
        <v>Aug-2022</v>
      </c>
      <c r="S8" s="3" t="str">
        <f>"Sep-"&amp;YEAR('A1 (FF1 Inputs)'!$E$12)+2</f>
        <v>Sep-2022</v>
      </c>
      <c r="T8" s="3" t="str">
        <f>"Oct-"&amp;YEAR('A1 (FF1 Inputs)'!$E$12)+2</f>
        <v>Oct-2022</v>
      </c>
      <c r="U8" s="3" t="str">
        <f>"Nov-"&amp;YEAR('A1 (FF1 Inputs)'!$E$12)+2</f>
        <v>Nov-2022</v>
      </c>
      <c r="V8" s="3" t="str">
        <f>"Dec-"&amp;YEAR('A1 (FF1 Inputs)'!$E$12)+2</f>
        <v>Dec-2022</v>
      </c>
      <c r="W8" s="3" t="str">
        <f>"Dec-"&amp;YEAR('A1 (FF1 Inputs)'!$E$12)+1</f>
        <v>Dec-2021</v>
      </c>
      <c r="X8" s="3" t="str">
        <f>"Jan-"&amp;YEAR('A1 (FF1 Inputs)'!$E$12)+2</f>
        <v>Jan-2022</v>
      </c>
      <c r="Y8" s="3" t="str">
        <f>"Feb-"&amp;YEAR('A1 (FF1 Inputs)'!$E$12)+2</f>
        <v>Feb-2022</v>
      </c>
      <c r="Z8" s="3" t="str">
        <f>"Mar-"&amp;YEAR('A1 (FF1 Inputs)'!$E$12)+2</f>
        <v>Mar-2022</v>
      </c>
      <c r="AA8" s="3" t="str">
        <f>"Apr-"&amp;YEAR('A1 (FF1 Inputs)'!$E$12)+2</f>
        <v>Apr-2022</v>
      </c>
      <c r="AB8" s="3" t="str">
        <f>"May-"&amp;YEAR('A1 (FF1 Inputs)'!$E$12)+2</f>
        <v>May-2022</v>
      </c>
      <c r="AC8" s="3" t="str">
        <f>"Jun-"&amp;YEAR('A1 (FF1 Inputs)'!$E$12)+2</f>
        <v>Jun-2022</v>
      </c>
      <c r="AD8" s="3" t="str">
        <f>"Jul-"&amp;YEAR('A1 (FF1 Inputs)'!$E$12)+2</f>
        <v>Jul-2022</v>
      </c>
      <c r="AE8" s="3" t="str">
        <f>"Aug-"&amp;YEAR('A1 (FF1 Inputs)'!$E$12)+2</f>
        <v>Aug-2022</v>
      </c>
      <c r="AF8" s="3" t="str">
        <f>"Sep-"&amp;YEAR('A1 (FF1 Inputs)'!$E$12)+2</f>
        <v>Sep-2022</v>
      </c>
      <c r="AG8" s="3" t="str">
        <f>"Oct-"&amp;YEAR('A1 (FF1 Inputs)'!$E$12)+2</f>
        <v>Oct-2022</v>
      </c>
      <c r="AH8" s="3" t="str">
        <f>"Nov-"&amp;YEAR('A1 (FF1 Inputs)'!$E$12)+2</f>
        <v>Nov-2022</v>
      </c>
      <c r="AI8" s="3" t="str">
        <f>"Dec-"&amp;YEAR('A1 (FF1 Inputs)'!$E$12)+2</f>
        <v>Dec-2022</v>
      </c>
      <c r="AJ8" s="275"/>
      <c r="AK8" s="275"/>
      <c r="AL8" s="275"/>
      <c r="AM8" s="275"/>
      <c r="AN8" s="275"/>
      <c r="AO8" s="275"/>
      <c r="AP8" s="275"/>
      <c r="AQ8" s="275"/>
      <c r="AR8" s="275"/>
      <c r="AS8" s="266"/>
    </row>
    <row r="9" spans="1:45" s="1" customFormat="1" x14ac:dyDescent="0.25">
      <c r="A9" s="266"/>
      <c r="B9" s="2" t="s">
        <v>7</v>
      </c>
      <c r="C9" s="2" t="s">
        <v>8</v>
      </c>
      <c r="D9" s="2" t="s">
        <v>9</v>
      </c>
      <c r="E9" s="2" t="s">
        <v>10</v>
      </c>
      <c r="F9" s="2" t="s">
        <v>632</v>
      </c>
      <c r="G9" s="2" t="s">
        <v>12</v>
      </c>
      <c r="H9" s="2" t="s">
        <v>91</v>
      </c>
      <c r="I9" s="2" t="s">
        <v>92</v>
      </c>
      <c r="J9" s="108" t="s">
        <v>93</v>
      </c>
      <c r="K9" s="2" t="s">
        <v>94</v>
      </c>
      <c r="L9" s="2" t="s">
        <v>95</v>
      </c>
      <c r="M9" s="2" t="s">
        <v>307</v>
      </c>
      <c r="N9" s="2" t="s">
        <v>392</v>
      </c>
      <c r="O9" s="2" t="s">
        <v>395</v>
      </c>
      <c r="P9" s="2" t="s">
        <v>396</v>
      </c>
      <c r="Q9" s="2" t="s">
        <v>397</v>
      </c>
      <c r="R9" s="2" t="s">
        <v>398</v>
      </c>
      <c r="S9" s="2" t="s">
        <v>399</v>
      </c>
      <c r="T9" s="2" t="s">
        <v>400</v>
      </c>
      <c r="U9" s="2" t="s">
        <v>401</v>
      </c>
      <c r="V9" s="2" t="s">
        <v>402</v>
      </c>
      <c r="W9" s="108" t="s">
        <v>403</v>
      </c>
      <c r="X9" s="2" t="s">
        <v>404</v>
      </c>
      <c r="Y9" s="2" t="s">
        <v>405</v>
      </c>
      <c r="Z9" s="2" t="s">
        <v>406</v>
      </c>
      <c r="AA9" s="2" t="s">
        <v>407</v>
      </c>
      <c r="AB9" s="2" t="s">
        <v>635</v>
      </c>
      <c r="AC9" s="2" t="s">
        <v>410</v>
      </c>
      <c r="AD9" s="2" t="s">
        <v>444</v>
      </c>
      <c r="AE9" s="2" t="s">
        <v>636</v>
      </c>
      <c r="AF9" s="2" t="s">
        <v>637</v>
      </c>
      <c r="AG9" s="2" t="s">
        <v>638</v>
      </c>
      <c r="AH9" s="2" t="s">
        <v>639</v>
      </c>
      <c r="AI9" s="153" t="s">
        <v>640</v>
      </c>
      <c r="AJ9" s="3" t="str">
        <f>"[ii]=Avg.("&amp;J9&amp;"-"&amp;V9&amp;")"</f>
        <v>[ii]=Avg.([i]-[u])</v>
      </c>
      <c r="AK9" s="3" t="str">
        <f>"[jj]=Avg.("&amp;W9&amp;"-"&amp;AI9&amp;")"</f>
        <v>[jj]=Avg.([v]-[hh])</v>
      </c>
      <c r="AL9" s="3" t="s">
        <v>740</v>
      </c>
      <c r="AM9" s="2" t="s">
        <v>741</v>
      </c>
      <c r="AN9" s="2" t="s">
        <v>742</v>
      </c>
      <c r="AO9" s="2" t="s">
        <v>743</v>
      </c>
      <c r="AP9" s="2" t="s">
        <v>648</v>
      </c>
      <c r="AQ9" s="2" t="s">
        <v>744</v>
      </c>
      <c r="AR9" s="2" t="s">
        <v>745</v>
      </c>
      <c r="AS9" s="2" t="s">
        <v>649</v>
      </c>
    </row>
    <row r="10" spans="1:45" ht="5.25" customHeight="1" x14ac:dyDescent="0.25">
      <c r="A10" s="5"/>
      <c r="B10" s="5"/>
      <c r="C10" s="5"/>
      <c r="D10" s="5"/>
      <c r="E10" s="5"/>
      <c r="F10" s="5"/>
      <c r="G10" s="5"/>
      <c r="H10" s="5"/>
      <c r="I10" s="5"/>
      <c r="J10" s="154"/>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5" ht="5.25" customHeight="1" x14ac:dyDescent="0.25">
      <c r="A11"/>
      <c r="J11" s="155"/>
    </row>
    <row r="12" spans="1:45" x14ac:dyDescent="0.25">
      <c r="A12" s="31" t="s">
        <v>411</v>
      </c>
      <c r="B12" s="32" t="s">
        <v>357</v>
      </c>
      <c r="C12" s="31" t="s">
        <v>357</v>
      </c>
      <c r="D12" s="43">
        <v>0</v>
      </c>
      <c r="E12" s="76">
        <f>'A18 (Cost of Capital)'!$G$28</f>
        <v>0.50592882228514535</v>
      </c>
      <c r="F12" s="76">
        <f>D12*E12</f>
        <v>0</v>
      </c>
      <c r="G12" s="43">
        <v>0</v>
      </c>
      <c r="H12" s="31" t="s">
        <v>357</v>
      </c>
      <c r="I12" s="45">
        <f>IFERROR(VLOOKUP(H12,'P12 (Allocation Factors)'!$D:$F,3,0),0)</f>
        <v>0</v>
      </c>
      <c r="J12" s="156">
        <v>0</v>
      </c>
      <c r="K12" s="37">
        <v>0</v>
      </c>
      <c r="L12" s="37">
        <v>0</v>
      </c>
      <c r="M12" s="37">
        <v>0</v>
      </c>
      <c r="N12" s="37">
        <v>0</v>
      </c>
      <c r="O12" s="37">
        <v>0</v>
      </c>
      <c r="P12" s="37">
        <v>0</v>
      </c>
      <c r="Q12" s="37">
        <v>0</v>
      </c>
      <c r="R12" s="37">
        <v>0</v>
      </c>
      <c r="S12" s="37">
        <v>0</v>
      </c>
      <c r="T12" s="37">
        <v>0</v>
      </c>
      <c r="U12" s="37">
        <v>0</v>
      </c>
      <c r="V12" s="150">
        <v>0</v>
      </c>
      <c r="W12" s="37">
        <v>0</v>
      </c>
      <c r="X12" s="37">
        <v>0</v>
      </c>
      <c r="Y12" s="37">
        <v>0</v>
      </c>
      <c r="Z12" s="37">
        <v>0</v>
      </c>
      <c r="AA12" s="37">
        <v>0</v>
      </c>
      <c r="AB12" s="37">
        <v>0</v>
      </c>
      <c r="AC12" s="37">
        <v>0</v>
      </c>
      <c r="AD12" s="37">
        <v>0</v>
      </c>
      <c r="AE12" s="37">
        <v>0</v>
      </c>
      <c r="AF12" s="37">
        <v>0</v>
      </c>
      <c r="AG12" s="37">
        <v>0</v>
      </c>
      <c r="AH12" s="37">
        <v>0</v>
      </c>
      <c r="AI12" s="150">
        <v>0</v>
      </c>
      <c r="AJ12" s="41">
        <f>AVERAGE(J12:V12)</f>
        <v>0</v>
      </c>
      <c r="AK12" s="41">
        <f>AVERAGE(W12:AI12)</f>
        <v>0</v>
      </c>
      <c r="AL12" s="41">
        <f>AJ12*$I12</f>
        <v>0</v>
      </c>
      <c r="AM12" s="41">
        <f>AK12*$I12</f>
        <v>0</v>
      </c>
      <c r="AN12" s="41">
        <f>AL12-AM12</f>
        <v>0</v>
      </c>
      <c r="AO12" s="41">
        <f>F12*G12*I12*AN12</f>
        <v>0</v>
      </c>
      <c r="AP12" s="76">
        <f>'Projected Attachment H'!$I$131</f>
        <v>0.28261465030055971</v>
      </c>
      <c r="AQ12" s="41">
        <f>AO12*AP12</f>
        <v>0</v>
      </c>
      <c r="AR12" s="41">
        <f>AO12+AQ12</f>
        <v>0</v>
      </c>
      <c r="AS12" s="46" t="s">
        <v>357</v>
      </c>
    </row>
    <row r="13" spans="1:45" x14ac:dyDescent="0.25">
      <c r="A13" s="31" t="s">
        <v>412</v>
      </c>
      <c r="B13" s="32" t="s">
        <v>357</v>
      </c>
      <c r="C13" s="31" t="s">
        <v>357</v>
      </c>
      <c r="D13" s="43">
        <v>0</v>
      </c>
      <c r="E13" s="76">
        <f>'A18 (Cost of Capital)'!$G$28</f>
        <v>0.50592882228514535</v>
      </c>
      <c r="F13" s="76">
        <f t="shared" ref="F13:F18" si="0">D13*E13</f>
        <v>0</v>
      </c>
      <c r="G13" s="43">
        <v>0</v>
      </c>
      <c r="H13" s="31" t="s">
        <v>357</v>
      </c>
      <c r="I13" s="45">
        <f>IFERROR(VLOOKUP(H13,'P12 (Allocation Factors)'!$D:$F,3,0),0)</f>
        <v>0</v>
      </c>
      <c r="J13" s="156">
        <v>0</v>
      </c>
      <c r="K13" s="37">
        <v>0</v>
      </c>
      <c r="L13" s="37">
        <v>0</v>
      </c>
      <c r="M13" s="37">
        <v>0</v>
      </c>
      <c r="N13" s="37">
        <v>0</v>
      </c>
      <c r="O13" s="37">
        <v>0</v>
      </c>
      <c r="P13" s="37">
        <v>0</v>
      </c>
      <c r="Q13" s="37">
        <v>0</v>
      </c>
      <c r="R13" s="37">
        <v>0</v>
      </c>
      <c r="S13" s="37">
        <v>0</v>
      </c>
      <c r="T13" s="37">
        <v>0</v>
      </c>
      <c r="U13" s="37">
        <v>0</v>
      </c>
      <c r="V13" s="150">
        <v>0</v>
      </c>
      <c r="W13" s="37">
        <v>0</v>
      </c>
      <c r="X13" s="37">
        <v>0</v>
      </c>
      <c r="Y13" s="37">
        <v>0</v>
      </c>
      <c r="Z13" s="37">
        <v>0</v>
      </c>
      <c r="AA13" s="37">
        <v>0</v>
      </c>
      <c r="AB13" s="37">
        <v>0</v>
      </c>
      <c r="AC13" s="37">
        <v>0</v>
      </c>
      <c r="AD13" s="37">
        <v>0</v>
      </c>
      <c r="AE13" s="37">
        <v>0</v>
      </c>
      <c r="AF13" s="37">
        <v>0</v>
      </c>
      <c r="AG13" s="37">
        <v>0</v>
      </c>
      <c r="AH13" s="37">
        <v>0</v>
      </c>
      <c r="AI13" s="150">
        <v>0</v>
      </c>
      <c r="AJ13" s="41">
        <f t="shared" ref="AJ13:AJ18" si="1">AVERAGE(J13:V13)</f>
        <v>0</v>
      </c>
      <c r="AK13" s="41">
        <f t="shared" ref="AK13:AK18" si="2">AVERAGE(W13:AI13)</f>
        <v>0</v>
      </c>
      <c r="AL13" s="41">
        <f t="shared" ref="AL13:AM18" si="3">AJ13*$I13</f>
        <v>0</v>
      </c>
      <c r="AM13" s="41">
        <f t="shared" si="3"/>
        <v>0</v>
      </c>
      <c r="AN13" s="41">
        <f t="shared" ref="AN13:AN18" si="4">AL13-AM13</f>
        <v>0</v>
      </c>
      <c r="AO13" s="41">
        <f t="shared" ref="AO13:AO18" si="5">F13*G13*I13*AN13</f>
        <v>0</v>
      </c>
      <c r="AP13" s="76">
        <f>'Projected Attachment H'!$I$131</f>
        <v>0.28261465030055971</v>
      </c>
      <c r="AQ13" s="41">
        <f t="shared" ref="AQ13:AQ18" si="6">AO13*AP13</f>
        <v>0</v>
      </c>
      <c r="AR13" s="41">
        <f t="shared" ref="AR13:AR17" si="7">AO13+AQ13</f>
        <v>0</v>
      </c>
      <c r="AS13" s="46" t="s">
        <v>357</v>
      </c>
    </row>
    <row r="14" spans="1:45" x14ac:dyDescent="0.25">
      <c r="A14" s="31" t="s">
        <v>413</v>
      </c>
      <c r="B14" s="32" t="s">
        <v>357</v>
      </c>
      <c r="C14" s="31" t="s">
        <v>357</v>
      </c>
      <c r="D14" s="43">
        <v>0</v>
      </c>
      <c r="E14" s="76">
        <f>'A18 (Cost of Capital)'!$G$28</f>
        <v>0.50592882228514535</v>
      </c>
      <c r="F14" s="76">
        <f t="shared" si="0"/>
        <v>0</v>
      </c>
      <c r="G14" s="43">
        <v>0</v>
      </c>
      <c r="H14" s="31" t="s">
        <v>357</v>
      </c>
      <c r="I14" s="45">
        <f>IFERROR(VLOOKUP(H14,'P12 (Allocation Factors)'!$D:$F,3,0),0)</f>
        <v>0</v>
      </c>
      <c r="J14" s="156">
        <v>0</v>
      </c>
      <c r="K14" s="37">
        <v>0</v>
      </c>
      <c r="L14" s="37">
        <v>0</v>
      </c>
      <c r="M14" s="37">
        <v>0</v>
      </c>
      <c r="N14" s="37">
        <v>0</v>
      </c>
      <c r="O14" s="37">
        <v>0</v>
      </c>
      <c r="P14" s="37">
        <v>0</v>
      </c>
      <c r="Q14" s="37">
        <v>0</v>
      </c>
      <c r="R14" s="37">
        <v>0</v>
      </c>
      <c r="S14" s="37">
        <v>0</v>
      </c>
      <c r="T14" s="37">
        <v>0</v>
      </c>
      <c r="U14" s="37">
        <v>0</v>
      </c>
      <c r="V14" s="150">
        <v>0</v>
      </c>
      <c r="W14" s="37">
        <v>0</v>
      </c>
      <c r="X14" s="37">
        <v>0</v>
      </c>
      <c r="Y14" s="37">
        <v>0</v>
      </c>
      <c r="Z14" s="37">
        <v>0</v>
      </c>
      <c r="AA14" s="37">
        <v>0</v>
      </c>
      <c r="AB14" s="37">
        <v>0</v>
      </c>
      <c r="AC14" s="37">
        <v>0</v>
      </c>
      <c r="AD14" s="37">
        <v>0</v>
      </c>
      <c r="AE14" s="37">
        <v>0</v>
      </c>
      <c r="AF14" s="37">
        <v>0</v>
      </c>
      <c r="AG14" s="37">
        <v>0</v>
      </c>
      <c r="AH14" s="37">
        <v>0</v>
      </c>
      <c r="AI14" s="150">
        <v>0</v>
      </c>
      <c r="AJ14" s="41">
        <f t="shared" si="1"/>
        <v>0</v>
      </c>
      <c r="AK14" s="41">
        <f t="shared" si="2"/>
        <v>0</v>
      </c>
      <c r="AL14" s="41">
        <f t="shared" si="3"/>
        <v>0</v>
      </c>
      <c r="AM14" s="41">
        <f t="shared" si="3"/>
        <v>0</v>
      </c>
      <c r="AN14" s="41">
        <f t="shared" si="4"/>
        <v>0</v>
      </c>
      <c r="AO14" s="41">
        <f t="shared" si="5"/>
        <v>0</v>
      </c>
      <c r="AP14" s="76">
        <f>'Projected Attachment H'!$I$131</f>
        <v>0.28261465030055971</v>
      </c>
      <c r="AQ14" s="41">
        <f t="shared" si="6"/>
        <v>0</v>
      </c>
      <c r="AR14" s="41">
        <f t="shared" si="7"/>
        <v>0</v>
      </c>
      <c r="AS14" s="46" t="s">
        <v>357</v>
      </c>
    </row>
    <row r="15" spans="1:45" x14ac:dyDescent="0.25">
      <c r="A15" s="31" t="s">
        <v>357</v>
      </c>
      <c r="B15" s="32" t="s">
        <v>357</v>
      </c>
      <c r="C15" s="31" t="s">
        <v>357</v>
      </c>
      <c r="D15" s="43">
        <v>0</v>
      </c>
      <c r="E15" s="76">
        <f>'A18 (Cost of Capital)'!$G$28</f>
        <v>0.50592882228514535</v>
      </c>
      <c r="F15" s="76">
        <f t="shared" si="0"/>
        <v>0</v>
      </c>
      <c r="G15" s="43">
        <v>0</v>
      </c>
      <c r="H15" s="31" t="s">
        <v>357</v>
      </c>
      <c r="I15" s="45">
        <f>IFERROR(VLOOKUP(H15,'P12 (Allocation Factors)'!$D:$F,3,0),0)</f>
        <v>0</v>
      </c>
      <c r="J15" s="156">
        <v>0</v>
      </c>
      <c r="K15" s="37">
        <v>0</v>
      </c>
      <c r="L15" s="37">
        <v>0</v>
      </c>
      <c r="M15" s="37">
        <v>0</v>
      </c>
      <c r="N15" s="37">
        <v>0</v>
      </c>
      <c r="O15" s="37">
        <v>0</v>
      </c>
      <c r="P15" s="37">
        <v>0</v>
      </c>
      <c r="Q15" s="37">
        <v>0</v>
      </c>
      <c r="R15" s="37">
        <v>0</v>
      </c>
      <c r="S15" s="37">
        <v>0</v>
      </c>
      <c r="T15" s="37">
        <v>0</v>
      </c>
      <c r="U15" s="37">
        <v>0</v>
      </c>
      <c r="V15" s="150">
        <v>0</v>
      </c>
      <c r="W15" s="37">
        <v>0</v>
      </c>
      <c r="X15" s="37">
        <v>0</v>
      </c>
      <c r="Y15" s="37">
        <v>0</v>
      </c>
      <c r="Z15" s="37">
        <v>0</v>
      </c>
      <c r="AA15" s="37">
        <v>0</v>
      </c>
      <c r="AB15" s="37">
        <v>0</v>
      </c>
      <c r="AC15" s="37">
        <v>0</v>
      </c>
      <c r="AD15" s="37">
        <v>0</v>
      </c>
      <c r="AE15" s="37">
        <v>0</v>
      </c>
      <c r="AF15" s="37">
        <v>0</v>
      </c>
      <c r="AG15" s="37">
        <v>0</v>
      </c>
      <c r="AH15" s="37">
        <v>0</v>
      </c>
      <c r="AI15" s="150">
        <v>0</v>
      </c>
      <c r="AJ15" s="41">
        <f t="shared" si="1"/>
        <v>0</v>
      </c>
      <c r="AK15" s="41">
        <f t="shared" si="2"/>
        <v>0</v>
      </c>
      <c r="AL15" s="41">
        <f t="shared" si="3"/>
        <v>0</v>
      </c>
      <c r="AM15" s="41">
        <f t="shared" si="3"/>
        <v>0</v>
      </c>
      <c r="AN15" s="41">
        <f t="shared" si="4"/>
        <v>0</v>
      </c>
      <c r="AO15" s="41">
        <f t="shared" si="5"/>
        <v>0</v>
      </c>
      <c r="AP15" s="76">
        <f>'Projected Attachment H'!$I$131</f>
        <v>0.28261465030055971</v>
      </c>
      <c r="AQ15" s="41">
        <f t="shared" si="6"/>
        <v>0</v>
      </c>
      <c r="AR15" s="41">
        <f t="shared" si="7"/>
        <v>0</v>
      </c>
      <c r="AS15" s="46" t="s">
        <v>357</v>
      </c>
    </row>
    <row r="16" spans="1:45" x14ac:dyDescent="0.25">
      <c r="A16" s="31" t="s">
        <v>357</v>
      </c>
      <c r="B16" s="32" t="s">
        <v>357</v>
      </c>
      <c r="C16" s="31" t="s">
        <v>357</v>
      </c>
      <c r="D16" s="43">
        <v>0</v>
      </c>
      <c r="E16" s="76">
        <f>'A18 (Cost of Capital)'!$G$28</f>
        <v>0.50592882228514535</v>
      </c>
      <c r="F16" s="76">
        <f t="shared" si="0"/>
        <v>0</v>
      </c>
      <c r="G16" s="43">
        <v>0</v>
      </c>
      <c r="H16" s="31" t="s">
        <v>357</v>
      </c>
      <c r="I16" s="45">
        <f>IFERROR(VLOOKUP(H16,'P12 (Allocation Factors)'!$D:$F,3,0),0)</f>
        <v>0</v>
      </c>
      <c r="J16" s="156">
        <v>0</v>
      </c>
      <c r="K16" s="37">
        <v>0</v>
      </c>
      <c r="L16" s="37">
        <v>0</v>
      </c>
      <c r="M16" s="37">
        <v>0</v>
      </c>
      <c r="N16" s="37">
        <v>0</v>
      </c>
      <c r="O16" s="37">
        <v>0</v>
      </c>
      <c r="P16" s="37">
        <v>0</v>
      </c>
      <c r="Q16" s="37">
        <v>0</v>
      </c>
      <c r="R16" s="37">
        <v>0</v>
      </c>
      <c r="S16" s="37">
        <v>0</v>
      </c>
      <c r="T16" s="37">
        <v>0</v>
      </c>
      <c r="U16" s="37">
        <v>0</v>
      </c>
      <c r="V16" s="150">
        <v>0</v>
      </c>
      <c r="W16" s="37">
        <v>0</v>
      </c>
      <c r="X16" s="37">
        <v>0</v>
      </c>
      <c r="Y16" s="37">
        <v>0</v>
      </c>
      <c r="Z16" s="37">
        <v>0</v>
      </c>
      <c r="AA16" s="37">
        <v>0</v>
      </c>
      <c r="AB16" s="37">
        <v>0</v>
      </c>
      <c r="AC16" s="37">
        <v>0</v>
      </c>
      <c r="AD16" s="37">
        <v>0</v>
      </c>
      <c r="AE16" s="37">
        <v>0</v>
      </c>
      <c r="AF16" s="37">
        <v>0</v>
      </c>
      <c r="AG16" s="37">
        <v>0</v>
      </c>
      <c r="AH16" s="37">
        <v>0</v>
      </c>
      <c r="AI16" s="150">
        <v>0</v>
      </c>
      <c r="AJ16" s="41">
        <f t="shared" si="1"/>
        <v>0</v>
      </c>
      <c r="AK16" s="41">
        <f t="shared" si="2"/>
        <v>0</v>
      </c>
      <c r="AL16" s="41">
        <f t="shared" si="3"/>
        <v>0</v>
      </c>
      <c r="AM16" s="41">
        <f t="shared" si="3"/>
        <v>0</v>
      </c>
      <c r="AN16" s="41">
        <f t="shared" si="4"/>
        <v>0</v>
      </c>
      <c r="AO16" s="41">
        <f t="shared" si="5"/>
        <v>0</v>
      </c>
      <c r="AP16" s="76">
        <f>'Projected Attachment H'!$I$131</f>
        <v>0.28261465030055971</v>
      </c>
      <c r="AQ16" s="41">
        <f t="shared" si="6"/>
        <v>0</v>
      </c>
      <c r="AR16" s="41">
        <f t="shared" si="7"/>
        <v>0</v>
      </c>
      <c r="AS16" s="46" t="s">
        <v>357</v>
      </c>
    </row>
    <row r="17" spans="1:45" x14ac:dyDescent="0.25">
      <c r="A17" s="31" t="s">
        <v>357</v>
      </c>
      <c r="B17" s="32" t="s">
        <v>357</v>
      </c>
      <c r="C17" s="31" t="s">
        <v>357</v>
      </c>
      <c r="D17" s="43">
        <v>0</v>
      </c>
      <c r="E17" s="76">
        <f>'A18 (Cost of Capital)'!$G$28</f>
        <v>0.50592882228514535</v>
      </c>
      <c r="F17" s="76">
        <f t="shared" si="0"/>
        <v>0</v>
      </c>
      <c r="G17" s="43">
        <v>0</v>
      </c>
      <c r="H17" s="31" t="s">
        <v>357</v>
      </c>
      <c r="I17" s="45">
        <f>IFERROR(VLOOKUP(H17,'P12 (Allocation Factors)'!$D:$F,3,0),0)</f>
        <v>0</v>
      </c>
      <c r="J17" s="156">
        <v>0</v>
      </c>
      <c r="K17" s="37">
        <v>0</v>
      </c>
      <c r="L17" s="37">
        <v>0</v>
      </c>
      <c r="M17" s="37">
        <v>0</v>
      </c>
      <c r="N17" s="37">
        <v>0</v>
      </c>
      <c r="O17" s="37">
        <v>0</v>
      </c>
      <c r="P17" s="37">
        <v>0</v>
      </c>
      <c r="Q17" s="37">
        <v>0</v>
      </c>
      <c r="R17" s="37">
        <v>0</v>
      </c>
      <c r="S17" s="37">
        <v>0</v>
      </c>
      <c r="T17" s="37">
        <v>0</v>
      </c>
      <c r="U17" s="37">
        <v>0</v>
      </c>
      <c r="V17" s="150">
        <v>0</v>
      </c>
      <c r="W17" s="37">
        <v>0</v>
      </c>
      <c r="X17" s="37">
        <v>0</v>
      </c>
      <c r="Y17" s="37">
        <v>0</v>
      </c>
      <c r="Z17" s="37">
        <v>0</v>
      </c>
      <c r="AA17" s="37">
        <v>0</v>
      </c>
      <c r="AB17" s="37">
        <v>0</v>
      </c>
      <c r="AC17" s="37">
        <v>0</v>
      </c>
      <c r="AD17" s="37">
        <v>0</v>
      </c>
      <c r="AE17" s="37">
        <v>0</v>
      </c>
      <c r="AF17" s="37">
        <v>0</v>
      </c>
      <c r="AG17" s="37">
        <v>0</v>
      </c>
      <c r="AH17" s="37">
        <v>0</v>
      </c>
      <c r="AI17" s="150">
        <v>0</v>
      </c>
      <c r="AJ17" s="41">
        <f t="shared" si="1"/>
        <v>0</v>
      </c>
      <c r="AK17" s="41">
        <f t="shared" si="2"/>
        <v>0</v>
      </c>
      <c r="AL17" s="41">
        <f t="shared" si="3"/>
        <v>0</v>
      </c>
      <c r="AM17" s="41">
        <f t="shared" si="3"/>
        <v>0</v>
      </c>
      <c r="AN17" s="41">
        <f t="shared" si="4"/>
        <v>0</v>
      </c>
      <c r="AO17" s="41">
        <f t="shared" si="5"/>
        <v>0</v>
      </c>
      <c r="AP17" s="76">
        <f>'Projected Attachment H'!$I$131</f>
        <v>0.28261465030055971</v>
      </c>
      <c r="AQ17" s="41">
        <f t="shared" si="6"/>
        <v>0</v>
      </c>
      <c r="AR17" s="41">
        <f t="shared" si="7"/>
        <v>0</v>
      </c>
      <c r="AS17" s="46" t="s">
        <v>357</v>
      </c>
    </row>
    <row r="18" spans="1:45" x14ac:dyDescent="0.25">
      <c r="A18" s="1" t="s">
        <v>478</v>
      </c>
      <c r="B18" s="104" t="s">
        <v>357</v>
      </c>
      <c r="C18" s="73" t="s">
        <v>357</v>
      </c>
      <c r="D18" s="105">
        <v>0</v>
      </c>
      <c r="E18" s="106">
        <f>'A18 (Cost of Capital)'!$G$28</f>
        <v>0.50592882228514535</v>
      </c>
      <c r="F18" s="106">
        <f t="shared" si="0"/>
        <v>0</v>
      </c>
      <c r="G18" s="105">
        <v>0</v>
      </c>
      <c r="H18" s="73" t="s">
        <v>357</v>
      </c>
      <c r="I18" s="45">
        <f>IFERROR(VLOOKUP(H18,'P12 (Allocation Factors)'!$D:$F,3,0),0)</f>
        <v>0</v>
      </c>
      <c r="J18" s="157">
        <v>0</v>
      </c>
      <c r="K18" s="20">
        <v>0</v>
      </c>
      <c r="L18" s="20">
        <v>0</v>
      </c>
      <c r="M18" s="20">
        <v>0</v>
      </c>
      <c r="N18" s="20">
        <v>0</v>
      </c>
      <c r="O18" s="20">
        <v>0</v>
      </c>
      <c r="P18" s="20">
        <v>0</v>
      </c>
      <c r="Q18" s="20">
        <v>0</v>
      </c>
      <c r="R18" s="20">
        <v>0</v>
      </c>
      <c r="S18" s="20">
        <v>0</v>
      </c>
      <c r="T18" s="20">
        <v>0</v>
      </c>
      <c r="U18" s="20">
        <v>0</v>
      </c>
      <c r="V18" s="151">
        <v>0</v>
      </c>
      <c r="W18" s="20">
        <v>0</v>
      </c>
      <c r="X18" s="20">
        <v>0</v>
      </c>
      <c r="Y18" s="20">
        <v>0</v>
      </c>
      <c r="Z18" s="20">
        <v>0</v>
      </c>
      <c r="AA18" s="20">
        <v>0</v>
      </c>
      <c r="AB18" s="20">
        <v>0</v>
      </c>
      <c r="AC18" s="20">
        <v>0</v>
      </c>
      <c r="AD18" s="20">
        <v>0</v>
      </c>
      <c r="AE18" s="20">
        <v>0</v>
      </c>
      <c r="AF18" s="20">
        <v>0</v>
      </c>
      <c r="AG18" s="20">
        <v>0</v>
      </c>
      <c r="AH18" s="20">
        <v>0</v>
      </c>
      <c r="AI18" s="151">
        <v>0</v>
      </c>
      <c r="AJ18" s="10">
        <f t="shared" si="1"/>
        <v>0</v>
      </c>
      <c r="AK18" s="41">
        <f t="shared" si="2"/>
        <v>0</v>
      </c>
      <c r="AL18" s="41">
        <f t="shared" si="3"/>
        <v>0</v>
      </c>
      <c r="AM18" s="41">
        <f t="shared" si="3"/>
        <v>0</v>
      </c>
      <c r="AN18" s="41">
        <f t="shared" si="4"/>
        <v>0</v>
      </c>
      <c r="AO18" s="41">
        <f t="shared" si="5"/>
        <v>0</v>
      </c>
      <c r="AP18" s="76">
        <f>'Projected Attachment H'!$I$131</f>
        <v>0.28261465030055971</v>
      </c>
      <c r="AQ18" s="41">
        <f t="shared" si="6"/>
        <v>0</v>
      </c>
      <c r="AR18" s="41">
        <f>AO18+AQ18</f>
        <v>0</v>
      </c>
      <c r="AS18" s="48" t="s">
        <v>357</v>
      </c>
    </row>
    <row r="19" spans="1:45" s="6" customFormat="1" x14ac:dyDescent="0.25">
      <c r="A19" s="88">
        <v>2</v>
      </c>
      <c r="B19" s="89" t="str">
        <f>"Total Incentive Return Return and Taxes (Sum Lns. "&amp;A12&amp;" through "&amp;A18&amp;")"</f>
        <v>Total Incentive Return Return and Taxes (Sum Lns. 1a through 1zz)</v>
      </c>
      <c r="C19" s="89"/>
      <c r="D19" s="90"/>
      <c r="E19" s="89"/>
      <c r="F19" s="90"/>
      <c r="G19" s="89"/>
      <c r="H19" s="89"/>
      <c r="I19" s="89"/>
      <c r="J19" s="158">
        <f t="shared" ref="J19:AR19" si="8">SUM(J12:J18)</f>
        <v>0</v>
      </c>
      <c r="K19" s="90">
        <f t="shared" si="8"/>
        <v>0</v>
      </c>
      <c r="L19" s="90">
        <f t="shared" si="8"/>
        <v>0</v>
      </c>
      <c r="M19" s="90">
        <f t="shared" si="8"/>
        <v>0</v>
      </c>
      <c r="N19" s="90">
        <f t="shared" si="8"/>
        <v>0</v>
      </c>
      <c r="O19" s="90">
        <f t="shared" si="8"/>
        <v>0</v>
      </c>
      <c r="P19" s="90">
        <f t="shared" si="8"/>
        <v>0</v>
      </c>
      <c r="Q19" s="90">
        <f t="shared" si="8"/>
        <v>0</v>
      </c>
      <c r="R19" s="90">
        <f t="shared" si="8"/>
        <v>0</v>
      </c>
      <c r="S19" s="90">
        <f t="shared" si="8"/>
        <v>0</v>
      </c>
      <c r="T19" s="90">
        <f t="shared" si="8"/>
        <v>0</v>
      </c>
      <c r="U19" s="90">
        <f t="shared" si="8"/>
        <v>0</v>
      </c>
      <c r="V19" s="152">
        <f t="shared" si="8"/>
        <v>0</v>
      </c>
      <c r="W19" s="90">
        <f t="shared" ref="W19:AI19" si="9">SUM(W12:W18)</f>
        <v>0</v>
      </c>
      <c r="X19" s="90">
        <f t="shared" si="9"/>
        <v>0</v>
      </c>
      <c r="Y19" s="90">
        <f t="shared" si="9"/>
        <v>0</v>
      </c>
      <c r="Z19" s="90">
        <f t="shared" si="9"/>
        <v>0</v>
      </c>
      <c r="AA19" s="90">
        <f t="shared" si="9"/>
        <v>0</v>
      </c>
      <c r="AB19" s="90">
        <f t="shared" si="9"/>
        <v>0</v>
      </c>
      <c r="AC19" s="90">
        <f t="shared" si="9"/>
        <v>0</v>
      </c>
      <c r="AD19" s="90">
        <f t="shared" si="9"/>
        <v>0</v>
      </c>
      <c r="AE19" s="90">
        <f t="shared" si="9"/>
        <v>0</v>
      </c>
      <c r="AF19" s="90">
        <f t="shared" si="9"/>
        <v>0</v>
      </c>
      <c r="AG19" s="90">
        <f t="shared" si="9"/>
        <v>0</v>
      </c>
      <c r="AH19" s="90">
        <f t="shared" si="9"/>
        <v>0</v>
      </c>
      <c r="AI19" s="152">
        <f t="shared" si="9"/>
        <v>0</v>
      </c>
      <c r="AJ19" s="90">
        <f>SUM(AJ12:AJ18)</f>
        <v>0</v>
      </c>
      <c r="AK19" s="90">
        <f t="shared" si="8"/>
        <v>0</v>
      </c>
      <c r="AL19" s="90">
        <f t="shared" si="8"/>
        <v>0</v>
      </c>
      <c r="AM19" s="90">
        <f t="shared" si="8"/>
        <v>0</v>
      </c>
      <c r="AN19" s="90">
        <f t="shared" si="8"/>
        <v>0</v>
      </c>
      <c r="AO19" s="90">
        <f t="shared" si="8"/>
        <v>0</v>
      </c>
      <c r="AP19" s="90"/>
      <c r="AQ19" s="90">
        <f t="shared" si="8"/>
        <v>0</v>
      </c>
      <c r="AR19" s="90">
        <f t="shared" si="8"/>
        <v>0</v>
      </c>
      <c r="AS19" s="89"/>
    </row>
    <row r="20" spans="1:45"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row>
    <row r="21" spans="1:45" ht="5.25" customHeight="1" x14ac:dyDescent="0.25"/>
    <row r="22" spans="1:45" x14ac:dyDescent="0.25">
      <c r="A22" s="22" t="str">
        <f>note</f>
        <v>Notes and Sources:</v>
      </c>
    </row>
    <row r="23" spans="1:45" ht="18.75" x14ac:dyDescent="0.25">
      <c r="A23" s="23">
        <v>1</v>
      </c>
      <c r="B23" s="274" t="str">
        <f>"Unless otherwise stated, source of shaded cells is company input/records. Lines "&amp;A12&amp;" through "&amp;A18&amp;" represent adjustable lines that may be expanded/compressed on an annual basis to provide for a sufficient breakout of incentive plant return and income taxes."</f>
        <v>Unless otherwise stated, source of shaded cells is company input/records. Lines 1a through 1zz represent adjustable lines that may be expanded/compressed on an annual basis to provide for a sufficient breakout of incentive plant return and income taxes.</v>
      </c>
      <c r="C23" s="274"/>
      <c r="D23" s="274"/>
    </row>
    <row r="24" spans="1:45" ht="15.75" customHeight="1" x14ac:dyDescent="0.25">
      <c r="A24" s="23"/>
      <c r="B24" s="274"/>
      <c r="C24" s="274"/>
      <c r="D24" s="274"/>
    </row>
    <row r="25" spans="1:45" ht="15.75" customHeight="1" x14ac:dyDescent="0.25">
      <c r="A25" s="23"/>
      <c r="B25" s="274"/>
      <c r="C25" s="274"/>
      <c r="D25" s="274"/>
    </row>
    <row r="26" spans="1:45" ht="15.75" customHeight="1" x14ac:dyDescent="0.25">
      <c r="A26" s="85">
        <v>2</v>
      </c>
      <c r="B26" s="274" t="s">
        <v>738</v>
      </c>
      <c r="C26" s="274"/>
      <c r="D26" s="274"/>
    </row>
    <row r="27" spans="1:45" ht="15.75" customHeight="1" x14ac:dyDescent="0.25">
      <c r="A27" s="85"/>
      <c r="B27" s="274"/>
      <c r="C27" s="274"/>
      <c r="D27" s="274"/>
    </row>
    <row r="28" spans="1:45" ht="15.75" customHeight="1" x14ac:dyDescent="0.25">
      <c r="A28" s="85"/>
      <c r="B28" s="274"/>
      <c r="C28" s="274"/>
      <c r="D28" s="274"/>
    </row>
    <row r="29" spans="1:45" ht="15.75" customHeight="1" x14ac:dyDescent="0.25">
      <c r="A29" s="85">
        <v>3</v>
      </c>
      <c r="B29" s="86" t="str">
        <f>"Source: "&amp;'A18 (Cost of Capital)'!I1&amp;", line "&amp;'A18 (Cost of Capital)'!A28&amp;", column [f]."</f>
        <v>Source: Worksheet A18, line 16, column [f].</v>
      </c>
      <c r="C29" s="86"/>
      <c r="D29" s="86"/>
    </row>
    <row r="30" spans="1:45" ht="15.75" customHeight="1" x14ac:dyDescent="0.25">
      <c r="A30" s="85">
        <v>4</v>
      </c>
      <c r="B30" s="86" t="str">
        <f>"Source: "&amp;'Actual Attachment H'!I1&amp;", line "&amp;'Actual Attachment H'!A131&amp;"."</f>
        <v>Source: Attachment H (Actuals), line 79.</v>
      </c>
      <c r="C30" s="86"/>
      <c r="D30" s="86"/>
    </row>
    <row r="31" spans="1:45" ht="15.75" customHeight="1" x14ac:dyDescent="0.25">
      <c r="A31" s="85">
        <v>5</v>
      </c>
      <c r="B31" s="274" t="str">
        <f>"Only network allocator codes listed on "&amp;'P12 (Allocation Factors)'!F1&amp;" may be inputed."</f>
        <v>Only network allocator codes listed on Worksheet P12 may be inputed.</v>
      </c>
      <c r="C31" s="274"/>
      <c r="D31" s="274"/>
    </row>
    <row r="32" spans="1:45" ht="15.75" customHeight="1" x14ac:dyDescent="0.25">
      <c r="A32" s="85"/>
      <c r="B32" s="274"/>
      <c r="C32" s="274"/>
      <c r="D32" s="274"/>
    </row>
    <row r="33" spans="1:45" ht="5.25" customHeight="1" thickBot="1" x14ac:dyDescent="0.3">
      <c r="A33" s="2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row>
    <row r="34" spans="1:45" ht="5.25" customHeight="1" thickTop="1" x14ac:dyDescent="0.25"/>
  </sheetData>
  <mergeCells count="25">
    <mergeCell ref="P7:V7"/>
    <mergeCell ref="W7:Z7"/>
    <mergeCell ref="AA7:AI7"/>
    <mergeCell ref="A7:A9"/>
    <mergeCell ref="B7:B8"/>
    <mergeCell ref="C7:C8"/>
    <mergeCell ref="D7:D8"/>
    <mergeCell ref="E7:E8"/>
    <mergeCell ref="F7:F8"/>
    <mergeCell ref="B31:D32"/>
    <mergeCell ref="AP7:AP8"/>
    <mergeCell ref="AQ7:AQ8"/>
    <mergeCell ref="AR7:AR8"/>
    <mergeCell ref="AS7:AS8"/>
    <mergeCell ref="B23:D25"/>
    <mergeCell ref="B26:D28"/>
    <mergeCell ref="AJ7:AJ8"/>
    <mergeCell ref="AK7:AK8"/>
    <mergeCell ref="AL7:AL8"/>
    <mergeCell ref="AM7:AM8"/>
    <mergeCell ref="AN7:AN8"/>
    <mergeCell ref="AO7:AO8"/>
    <mergeCell ref="G7:G8"/>
    <mergeCell ref="H7:I7"/>
    <mergeCell ref="J7:O7"/>
  </mergeCells>
  <pageMargins left="0.7" right="0.7" top="0.75" bottom="0.75" header="0.3" footer="0.3"/>
  <pageSetup scale="55" fitToWidth="5" orientation="landscape" horizontalDpi="1200" verticalDpi="1200" r:id="rId1"/>
  <headerFooter>
    <oddFooter>&amp;L&amp;6{W0327924.2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F49"/>
  <sheetViews>
    <sheetView workbookViewId="0"/>
  </sheetViews>
  <sheetFormatPr defaultRowHeight="15.75" x14ac:dyDescent="0.25"/>
  <cols>
    <col min="1" max="1" width="5" style="1" customWidth="1"/>
    <col min="2" max="2" width="36.75" customWidth="1"/>
    <col min="3" max="3" width="35.75" customWidth="1"/>
    <col min="4" max="4" width="6" customWidth="1"/>
    <col min="5" max="5" width="3.125" customWidth="1"/>
    <col min="6" max="6" width="15" customWidth="1"/>
  </cols>
  <sheetData>
    <row r="1" spans="1:6" x14ac:dyDescent="0.25">
      <c r="A1" s="6" t="str">
        <f>epe</f>
        <v>El Paso Electric Company</v>
      </c>
      <c r="F1" s="8" t="s">
        <v>926</v>
      </c>
    </row>
    <row r="2" spans="1:6" x14ac:dyDescent="0.25">
      <c r="A2" t="str">
        <f>frtp</f>
        <v>Formula Rate Template (Projected)</v>
      </c>
    </row>
    <row r="3" spans="1:6" x14ac:dyDescent="0.25">
      <c r="A3" t="s">
        <v>327</v>
      </c>
    </row>
    <row r="4" spans="1:6" x14ac:dyDescent="0.25">
      <c r="A4" t="str">
        <f>"12 Months Ended December 31, "&amp;YEAR('A1 (FF1 Inputs)'!$E$12)+2</f>
        <v>12 Months Ended December 31, 2022</v>
      </c>
    </row>
    <row r="5" spans="1:6" ht="5.25" customHeight="1" thickBot="1" x14ac:dyDescent="0.3">
      <c r="A5" s="4"/>
      <c r="B5" s="4"/>
      <c r="C5" s="4"/>
      <c r="D5" s="4"/>
      <c r="E5" s="4"/>
      <c r="F5" s="4"/>
    </row>
    <row r="6" spans="1:6" ht="5.25" customHeight="1" thickTop="1" x14ac:dyDescent="0.25">
      <c r="A6"/>
    </row>
    <row r="7" spans="1:6" s="3" customFormat="1" ht="15.75" customHeight="1" x14ac:dyDescent="0.25">
      <c r="A7" s="267" t="str">
        <f>ln</f>
        <v>Line No.</v>
      </c>
      <c r="B7" s="266" t="str">
        <f>des</f>
        <v>Description</v>
      </c>
      <c r="C7" s="266" t="str">
        <f>ref</f>
        <v>Reference</v>
      </c>
      <c r="D7" s="266" t="s">
        <v>5</v>
      </c>
      <c r="F7" s="266" t="s">
        <v>328</v>
      </c>
    </row>
    <row r="8" spans="1:6" s="3" customFormat="1" x14ac:dyDescent="0.25">
      <c r="A8" s="267"/>
      <c r="B8" s="266"/>
      <c r="C8" s="266"/>
      <c r="D8" s="266"/>
      <c r="F8" s="266"/>
    </row>
    <row r="9" spans="1:6" s="1" customFormat="1" x14ac:dyDescent="0.25">
      <c r="A9" s="267"/>
      <c r="B9" s="1" t="s">
        <v>7</v>
      </c>
      <c r="C9" s="1" t="s">
        <v>8</v>
      </c>
      <c r="D9" s="1" t="s">
        <v>9</v>
      </c>
      <c r="F9" s="1" t="s">
        <v>10</v>
      </c>
    </row>
    <row r="10" spans="1:6" ht="5.25" customHeight="1" x14ac:dyDescent="0.25">
      <c r="A10" s="5"/>
      <c r="B10" s="5"/>
      <c r="C10" s="5"/>
      <c r="D10" s="5"/>
      <c r="E10" s="5"/>
      <c r="F10" s="5"/>
    </row>
    <row r="11" spans="1:6" ht="5.25" customHeight="1" x14ac:dyDescent="0.25">
      <c r="A11"/>
    </row>
    <row r="12" spans="1:6" ht="18.75" x14ac:dyDescent="0.25">
      <c r="A12" s="1">
        <f>1</f>
        <v>1</v>
      </c>
      <c r="B12" t="s">
        <v>364</v>
      </c>
      <c r="C12" t="s">
        <v>714</v>
      </c>
      <c r="D12" s="1" t="s">
        <v>41</v>
      </c>
      <c r="E12" s="25" t="s">
        <v>329</v>
      </c>
      <c r="F12" s="26">
        <v>1</v>
      </c>
    </row>
    <row r="14" spans="1:6" ht="18.75" x14ac:dyDescent="0.25">
      <c r="A14" s="1">
        <f>A12+1</f>
        <v>2</v>
      </c>
      <c r="B14" t="s">
        <v>365</v>
      </c>
      <c r="C14" t="s">
        <v>714</v>
      </c>
      <c r="D14" s="1" t="s">
        <v>29</v>
      </c>
      <c r="E14" s="25" t="s">
        <v>329</v>
      </c>
      <c r="F14" s="26">
        <v>0</v>
      </c>
    </row>
    <row r="16" spans="1:6" x14ac:dyDescent="0.25">
      <c r="B16" s="21" t="s">
        <v>22</v>
      </c>
    </row>
    <row r="17" spans="1:6" x14ac:dyDescent="0.25">
      <c r="A17" s="1">
        <f>A14+1</f>
        <v>3</v>
      </c>
      <c r="B17" t="s">
        <v>366</v>
      </c>
      <c r="C17" t="str">
        <f>'Projected Attachment H'!$I$1&amp;", Ln. "&amp;'Projected Attachment H'!A44&amp;", Col. [c]"</f>
        <v>Attachment H (Projected), Ln. 20, Col. [c]</v>
      </c>
      <c r="F17" s="10">
        <f>'Projected Attachment H'!I44</f>
        <v>706956294.80103731</v>
      </c>
    </row>
    <row r="18" spans="1:6" x14ac:dyDescent="0.25">
      <c r="A18" s="1">
        <f>A17+1</f>
        <v>4</v>
      </c>
      <c r="B18" t="s">
        <v>331</v>
      </c>
      <c r="C18" t="str">
        <f>'Projected Attachment H'!$I$1&amp;", Ln. "&amp;'Projected Attachment H'!A44&amp;", Col. [f]"</f>
        <v>Attachment H (Projected), Ln. 20, Col. [f]</v>
      </c>
      <c r="F18" s="10">
        <f>'Projected Attachment H'!D44</f>
        <v>5552391499.7692308</v>
      </c>
    </row>
    <row r="19" spans="1:6" ht="7.5" customHeight="1" x14ac:dyDescent="0.25">
      <c r="F19" s="10"/>
    </row>
    <row r="20" spans="1:6" x14ac:dyDescent="0.25">
      <c r="A20" s="1">
        <f>A18+1</f>
        <v>5</v>
      </c>
      <c r="B20" t="s">
        <v>330</v>
      </c>
      <c r="C20" t="str">
        <f>"Lns. ("&amp;A17&amp;" / "&amp;A18&amp;")"</f>
        <v>Lns. (3 / 4)</v>
      </c>
      <c r="D20" s="1" t="s">
        <v>42</v>
      </c>
      <c r="E20" s="25" t="s">
        <v>329</v>
      </c>
      <c r="F20" s="26">
        <f>IFERROR(F17/F18,0)</f>
        <v>0.12732464827640844</v>
      </c>
    </row>
    <row r="22" spans="1:6" x14ac:dyDescent="0.25">
      <c r="B22" s="21" t="s">
        <v>28</v>
      </c>
    </row>
    <row r="23" spans="1:6" x14ac:dyDescent="0.25">
      <c r="A23" s="1">
        <f>A20+1</f>
        <v>6</v>
      </c>
      <c r="B23" t="s">
        <v>366</v>
      </c>
      <c r="C23" t="str">
        <f>'Projected Attachment H'!$I$1&amp;", Ln. "&amp;'Projected Attachment H'!A58&amp;", Col. [c]"</f>
        <v>Attachment H (Projected), Ln. 30, Col. [c]</v>
      </c>
      <c r="F23" s="10">
        <f>'Projected Attachment H'!I58</f>
        <v>415412456.97077256</v>
      </c>
    </row>
    <row r="24" spans="1:6" x14ac:dyDescent="0.25">
      <c r="A24" s="1">
        <f>A23+1</f>
        <v>7</v>
      </c>
      <c r="B24" t="s">
        <v>331</v>
      </c>
      <c r="C24" t="str">
        <f>'Projected Attachment H'!$I$1&amp;", Ln. "&amp;'Projected Attachment H'!A58&amp;", Col. [f]"</f>
        <v>Attachment H (Projected), Ln. 30, Col. [f]</v>
      </c>
      <c r="F24" s="10">
        <f>'Projected Attachment H'!D58</f>
        <v>3101555423.2633877</v>
      </c>
    </row>
    <row r="25" spans="1:6" ht="7.5" customHeight="1" x14ac:dyDescent="0.25">
      <c r="F25" s="10"/>
    </row>
    <row r="26" spans="1:6" x14ac:dyDescent="0.25">
      <c r="A26" s="1">
        <f>A24+1</f>
        <v>8</v>
      </c>
      <c r="B26" t="s">
        <v>332</v>
      </c>
      <c r="C26" t="str">
        <f>"Lns. ("&amp;A23&amp;" / "&amp;A24&amp;")"</f>
        <v>Lns. (6 / 7)</v>
      </c>
      <c r="D26" s="1" t="s">
        <v>333</v>
      </c>
      <c r="E26" s="25" t="s">
        <v>329</v>
      </c>
      <c r="F26" s="26">
        <f>IFERROR(F23/F24,0)</f>
        <v>0.13393681565544452</v>
      </c>
    </row>
    <row r="28" spans="1:6" x14ac:dyDescent="0.25">
      <c r="B28" s="21" t="s">
        <v>334</v>
      </c>
    </row>
    <row r="29" spans="1:6" x14ac:dyDescent="0.25">
      <c r="A29" s="1">
        <f>A26+1</f>
        <v>9</v>
      </c>
      <c r="B29" t="s">
        <v>366</v>
      </c>
      <c r="C29" t="str">
        <f>'P2 (Trans Plant)'!L1&amp;", Ln. "&amp;'P2 (Trans Plant)'!A39&amp;", Col. "&amp;'P2 (Trans Plant)'!G8</f>
        <v>Worksheet P2, Ln. 27, Col. [f]</v>
      </c>
      <c r="F29" s="10">
        <f>'P2 (Trans Plant)'!G39</f>
        <v>615173721.89307714</v>
      </c>
    </row>
    <row r="30" spans="1:6" x14ac:dyDescent="0.25">
      <c r="A30" s="1">
        <f>A29+1</f>
        <v>10</v>
      </c>
      <c r="B30" t="s">
        <v>331</v>
      </c>
      <c r="C30" t="str">
        <f>'Projected Attachment H'!$I$1&amp;", Ln. "&amp;'Projected Attachment H'!A41&amp;", Col. [c]"</f>
        <v>Attachment H (Projected), Ln. 17, Col. [c]</v>
      </c>
      <c r="F30" s="10">
        <f>'Projected Attachment H'!D41</f>
        <v>619861339.92307687</v>
      </c>
    </row>
    <row r="31" spans="1:6" ht="7.5" customHeight="1" x14ac:dyDescent="0.25">
      <c r="F31" s="10"/>
    </row>
    <row r="32" spans="1:6" x14ac:dyDescent="0.25">
      <c r="A32" s="1">
        <f>A30+1</f>
        <v>11</v>
      </c>
      <c r="B32" t="s">
        <v>335</v>
      </c>
      <c r="C32" t="str">
        <f>"Lns. ("&amp;A29&amp;" / "&amp;A30&amp;")"</f>
        <v>Lns. (9 / 10)</v>
      </c>
      <c r="D32" s="1" t="s">
        <v>16</v>
      </c>
      <c r="E32" s="25" t="s">
        <v>329</v>
      </c>
      <c r="F32" s="26">
        <f>IFERROR(F29/F30,0)</f>
        <v>0.99243763447066813</v>
      </c>
    </row>
    <row r="34" spans="1:6" x14ac:dyDescent="0.25">
      <c r="B34" s="21" t="s">
        <v>336</v>
      </c>
    </row>
    <row r="35" spans="1:6" x14ac:dyDescent="0.25">
      <c r="A35" s="1">
        <f>A32+1</f>
        <v>12</v>
      </c>
      <c r="B35" t="s">
        <v>337</v>
      </c>
      <c r="C35" t="str">
        <f>'A1 (FF1 Inputs)'!$E$1&amp;", Ln. "&amp;'A1 (FF1 Inputs)'!A102</f>
        <v>Worksheet A1, Ln. 69</v>
      </c>
      <c r="F35" s="10">
        <f>'A1 (FF1 Inputs)'!E102</f>
        <v>17097034</v>
      </c>
    </row>
    <row r="36" spans="1:6" x14ac:dyDescent="0.25">
      <c r="A36" s="1">
        <f>A35+1</f>
        <v>13</v>
      </c>
      <c r="B36" t="s">
        <v>209</v>
      </c>
      <c r="C36" t="str">
        <f>'A1 (FF1 Inputs)'!$E$1&amp;", Ln. "&amp;'A1 (FF1 Inputs)'!A103</f>
        <v>Worksheet A1, Ln. 70</v>
      </c>
      <c r="F36" s="10">
        <f>'A1 (FF1 Inputs)'!E103</f>
        <v>10826624</v>
      </c>
    </row>
    <row r="37" spans="1:6" x14ac:dyDescent="0.25">
      <c r="A37" s="1">
        <f>A36+1</f>
        <v>14</v>
      </c>
      <c r="B37" t="s">
        <v>210</v>
      </c>
      <c r="C37" t="str">
        <f>'A1 (FF1 Inputs)'!$E$1&amp;", Ln. "&amp;'A1 (FF1 Inputs)'!A104</f>
        <v>Worksheet A1, Ln. 71</v>
      </c>
      <c r="F37" s="10">
        <f>'A1 (FF1 Inputs)'!E104</f>
        <v>14677499</v>
      </c>
    </row>
    <row r="38" spans="1:6" x14ac:dyDescent="0.25">
      <c r="A38" s="1">
        <f t="shared" ref="A38" si="0">A37+1</f>
        <v>15</v>
      </c>
      <c r="B38" t="s">
        <v>62</v>
      </c>
      <c r="C38" t="str">
        <f>'A1 (FF1 Inputs)'!$E$1&amp;", Lns. ("&amp;'A1 (FF1 Inputs)'!A105&amp;" + "&amp;'A1 (FF1 Inputs)'!A106&amp;" + "&amp;'A1 (FF1 Inputs)'!A107&amp;")"</f>
        <v>Worksheet A1, Lns. (72 + 73 + 74)</v>
      </c>
      <c r="F38" s="10">
        <f>'A1 (FF1 Inputs)'!E105+'A1 (FF1 Inputs)'!E106+'A1 (FF1 Inputs)'!E107</f>
        <v>8782285</v>
      </c>
    </row>
    <row r="39" spans="1:6" x14ac:dyDescent="0.25">
      <c r="A39" s="1">
        <f>A38+1</f>
        <v>16</v>
      </c>
      <c r="B39" t="s">
        <v>283</v>
      </c>
      <c r="C39" t="str">
        <f>"Sum Lns. ("&amp;A35&amp;" through "&amp;A38&amp;")"</f>
        <v>Sum Lns. (12 through 15)</v>
      </c>
      <c r="F39" s="11">
        <f>SUM(F35:F38)</f>
        <v>51383442</v>
      </c>
    </row>
    <row r="41" spans="1:6" x14ac:dyDescent="0.25">
      <c r="A41" s="1">
        <f>A39+1</f>
        <v>17</v>
      </c>
      <c r="B41" t="s">
        <v>366</v>
      </c>
      <c r="C41" t="str">
        <f>"Lns. ("&amp;A32&amp;" x "&amp;A36&amp;")"</f>
        <v>Lns. (11 x 13)</v>
      </c>
      <c r="F41" s="10">
        <f>F32*F36</f>
        <v>10744749.111863364</v>
      </c>
    </row>
    <row r="43" spans="1:6" x14ac:dyDescent="0.25">
      <c r="A43" s="1">
        <f>A41+1</f>
        <v>18</v>
      </c>
      <c r="B43" t="s">
        <v>338</v>
      </c>
      <c r="C43" t="str">
        <f>"Lns. ("&amp;A41&amp;" / "&amp;A39&amp;")"</f>
        <v>Lns. (17 / 16)</v>
      </c>
      <c r="D43" s="1" t="s">
        <v>288</v>
      </c>
      <c r="E43" s="25" t="s">
        <v>329</v>
      </c>
      <c r="F43" s="30">
        <f>IFERROR(F41/F39,0)</f>
        <v>0.20910917396042414</v>
      </c>
    </row>
    <row r="44" spans="1:6" ht="5.25" customHeight="1" x14ac:dyDescent="0.25">
      <c r="A44" s="14"/>
      <c r="B44" s="5"/>
      <c r="C44" s="5"/>
      <c r="D44" s="5"/>
      <c r="E44" s="5"/>
      <c r="F44" s="5"/>
    </row>
    <row r="45" spans="1:6" ht="5.25" customHeight="1" x14ac:dyDescent="0.25"/>
    <row r="46" spans="1:6" x14ac:dyDescent="0.25">
      <c r="A46" s="22" t="str">
        <f>note</f>
        <v>Notes and Sources:</v>
      </c>
    </row>
    <row r="47" spans="1:6" ht="18.75" x14ac:dyDescent="0.25">
      <c r="A47" s="23">
        <v>1</v>
      </c>
      <c r="B47" t="s">
        <v>1003</v>
      </c>
    </row>
    <row r="48" spans="1:6" ht="5.25" customHeight="1" thickBot="1" x14ac:dyDescent="0.3">
      <c r="A48" s="24"/>
      <c r="B48" s="4"/>
      <c r="C48" s="4"/>
      <c r="D48" s="4"/>
      <c r="E48" s="4"/>
      <c r="F48" s="4"/>
    </row>
    <row r="49" ht="5.25" customHeight="1" thickTop="1" x14ac:dyDescent="0.25"/>
  </sheetData>
  <mergeCells count="5">
    <mergeCell ref="A7:A9"/>
    <mergeCell ref="B7:B8"/>
    <mergeCell ref="C7:C8"/>
    <mergeCell ref="D7:D8"/>
    <mergeCell ref="F7:F8"/>
  </mergeCells>
  <pageMargins left="0.7" right="0.7" top="0.75" bottom="0.75" header="0.3" footer="0.3"/>
  <pageSetup scale="83" orientation="portrait" horizontalDpi="1200" verticalDpi="1200" r:id="rId1"/>
  <headerFooter>
    <oddFooter>&amp;L&amp;6{W0327924.2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J33"/>
  <sheetViews>
    <sheetView workbookViewId="0"/>
  </sheetViews>
  <sheetFormatPr defaultRowHeight="15.75" x14ac:dyDescent="0.25"/>
  <cols>
    <col min="1" max="1" width="5" style="1" customWidth="1"/>
    <col min="2" max="2" width="37.125" customWidth="1"/>
    <col min="3" max="10" width="15.625" customWidth="1"/>
  </cols>
  <sheetData>
    <row r="1" spans="1:10" x14ac:dyDescent="0.25">
      <c r="A1" s="6" t="str">
        <f>epe</f>
        <v>El Paso Electric Company</v>
      </c>
      <c r="J1" s="8" t="s">
        <v>350</v>
      </c>
    </row>
    <row r="2" spans="1:10" x14ac:dyDescent="0.25">
      <c r="A2" t="str">
        <f>frta</f>
        <v>Formula Rate Template (Actuals)</v>
      </c>
    </row>
    <row r="3" spans="1:10" x14ac:dyDescent="0.25">
      <c r="A3" t="s">
        <v>603</v>
      </c>
    </row>
    <row r="4" spans="1:10" x14ac:dyDescent="0.25">
      <c r="A4" t="str">
        <f>"12 Months Ended December 31, "&amp;YEAR('A1 (FF1 Inputs)'!$E$12)</f>
        <v>12 Months Ended December 31, 2020</v>
      </c>
    </row>
    <row r="5" spans="1:10" ht="5.25" customHeight="1" thickBot="1" x14ac:dyDescent="0.3">
      <c r="A5" s="4"/>
      <c r="B5" s="4"/>
      <c r="C5" s="4"/>
      <c r="D5" s="4"/>
      <c r="E5" s="4"/>
      <c r="F5" s="4"/>
      <c r="G5" s="4"/>
      <c r="H5" s="4"/>
      <c r="I5" s="4"/>
      <c r="J5" s="4"/>
    </row>
    <row r="6" spans="1:10" ht="5.25" customHeight="1" thickTop="1" x14ac:dyDescent="0.25">
      <c r="A6"/>
    </row>
    <row r="7" spans="1:10" s="40" customFormat="1" ht="50.25" x14ac:dyDescent="0.25">
      <c r="A7" s="266" t="str">
        <f>ln</f>
        <v>Line No.</v>
      </c>
      <c r="B7" s="40" t="s">
        <v>363</v>
      </c>
      <c r="C7" s="40" t="s">
        <v>604</v>
      </c>
      <c r="D7" s="40" t="s">
        <v>74</v>
      </c>
      <c r="E7" s="40" t="s">
        <v>605</v>
      </c>
      <c r="F7" s="40" t="s">
        <v>76</v>
      </c>
      <c r="G7" s="102" t="s">
        <v>606</v>
      </c>
      <c r="H7" s="40" t="s">
        <v>78</v>
      </c>
      <c r="I7" s="40" t="s">
        <v>607</v>
      </c>
      <c r="J7" s="40" t="s">
        <v>1019</v>
      </c>
    </row>
    <row r="8" spans="1:10" s="1" customFormat="1" x14ac:dyDescent="0.25">
      <c r="A8" s="266"/>
      <c r="B8" s="2" t="s">
        <v>7</v>
      </c>
      <c r="C8" s="2" t="s">
        <v>8</v>
      </c>
      <c r="D8" s="2" t="s">
        <v>9</v>
      </c>
      <c r="E8" s="2" t="s">
        <v>10</v>
      </c>
      <c r="F8" s="2" t="s">
        <v>11</v>
      </c>
      <c r="G8" s="2" t="s">
        <v>12</v>
      </c>
      <c r="H8" s="1" t="s">
        <v>91</v>
      </c>
      <c r="I8" s="1" t="s">
        <v>608</v>
      </c>
      <c r="J8" s="1" t="s">
        <v>610</v>
      </c>
    </row>
    <row r="9" spans="1:10" ht="5.25" customHeight="1" x14ac:dyDescent="0.25">
      <c r="A9" s="5"/>
      <c r="B9" s="5"/>
      <c r="C9" s="5"/>
      <c r="D9" s="5"/>
      <c r="E9" s="5"/>
      <c r="F9" s="5"/>
      <c r="G9" s="5"/>
      <c r="H9" s="5"/>
      <c r="I9" s="5"/>
      <c r="J9" s="5"/>
    </row>
    <row r="10" spans="1:10" ht="5.25" customHeight="1" x14ac:dyDescent="0.25">
      <c r="A10"/>
    </row>
    <row r="11" spans="1:10" ht="25.5" x14ac:dyDescent="0.25">
      <c r="A11" s="2">
        <v>1</v>
      </c>
      <c r="B11" s="78" t="s">
        <v>707</v>
      </c>
      <c r="C11" s="79" t="str">
        <f>'A1 (FF1 Inputs)'!$E$1&amp;", Lns. ("&amp;'A1 (FF1 Inputs)'!$A$110&amp;" through "&amp;'A1 (FF1 Inputs)'!$A$121&amp;")"</f>
        <v>Worksheet A1, Lns. (75 through 86)</v>
      </c>
      <c r="D11" s="79" t="str">
        <f>'A1 (FF1 Inputs)'!$E$1&amp;", Lns. ("&amp;'A1 (FF1 Inputs)'!$A$124&amp;" through "&amp;'A1 (FF1 Inputs)'!$A$135&amp;")"</f>
        <v>Worksheet A1, Lns. (87 through 98)</v>
      </c>
      <c r="E11" s="79" t="str">
        <f>'A1 (FF1 Inputs)'!$E$1&amp;", Lns. ("&amp;'A1 (FF1 Inputs)'!$A$138&amp;" through "&amp;'A1 (FF1 Inputs)'!$A$149&amp;")"</f>
        <v>Worksheet A1, Lns. (99 through 110)</v>
      </c>
      <c r="F11" s="79" t="str">
        <f>'A1 (FF1 Inputs)'!$E$1&amp;", Lns. ("&amp;'A1 (FF1 Inputs)'!$A$152&amp;" through "&amp;'A1 (FF1 Inputs)'!$A$163&amp;")"</f>
        <v>Worksheet A1, Lns. (111 through 122)</v>
      </c>
      <c r="G11" s="79" t="str">
        <f>'A1 (FF1 Inputs)'!$E$1&amp;", Lns. ("&amp;'A1 (FF1 Inputs)'!$A$166&amp;" through "&amp;'A1 (FF1 Inputs)'!$A$177&amp;")"</f>
        <v>Worksheet A1, Lns. (123 through 134)</v>
      </c>
      <c r="H11" s="238" t="str">
        <f>'A1 (FF1 Inputs)'!$E$1&amp;", Lns. ("&amp;'A1 (FF1 Inputs)'!$A$180&amp;" through "&amp;'A1 (FF1 Inputs)'!$A$191&amp;")"</f>
        <v>Worksheet A1, Lns. (135 through 146)</v>
      </c>
    </row>
    <row r="12" spans="1:10" x14ac:dyDescent="0.25">
      <c r="A12" s="1">
        <f>A11+1</f>
        <v>2</v>
      </c>
      <c r="B12" t="s">
        <v>79</v>
      </c>
      <c r="C12" s="68">
        <f>'A1 (FF1 Inputs)'!E110</f>
        <v>1072</v>
      </c>
      <c r="D12" s="68">
        <f>'A1 (FF1 Inputs)'!E124</f>
        <v>6</v>
      </c>
      <c r="E12" s="68">
        <f>'A1 (FF1 Inputs)'!E138</f>
        <v>824</v>
      </c>
      <c r="F12" s="68">
        <f>'A1 (FF1 Inputs)'!E152</f>
        <v>50</v>
      </c>
      <c r="G12" s="68">
        <f>'A1 (FF1 Inputs)'!E166</f>
        <v>10</v>
      </c>
      <c r="H12" s="239">
        <f>'A1 (FF1 Inputs)'!E180</f>
        <v>400</v>
      </c>
      <c r="I12" s="68">
        <f>SUM(C12:H12)</f>
        <v>2362</v>
      </c>
      <c r="J12" s="68">
        <f>I12-G12</f>
        <v>2352</v>
      </c>
    </row>
    <row r="13" spans="1:10" x14ac:dyDescent="0.25">
      <c r="A13" s="1">
        <f t="shared" ref="A13:A24" si="0">A12+1</f>
        <v>3</v>
      </c>
      <c r="B13" t="s">
        <v>80</v>
      </c>
      <c r="C13" s="68">
        <f>'A1 (FF1 Inputs)'!E111</f>
        <v>1126</v>
      </c>
      <c r="D13" s="68">
        <f>'A1 (FF1 Inputs)'!E125</f>
        <v>7</v>
      </c>
      <c r="E13" s="68">
        <f>'A1 (FF1 Inputs)'!E139</f>
        <v>824</v>
      </c>
      <c r="F13" s="68">
        <f>'A1 (FF1 Inputs)'!E153</f>
        <v>50</v>
      </c>
      <c r="G13" s="68">
        <f>'A1 (FF1 Inputs)'!E167</f>
        <v>10</v>
      </c>
      <c r="H13" s="239">
        <f>'A1 (FF1 Inputs)'!E181</f>
        <v>400</v>
      </c>
      <c r="I13" s="68">
        <f>SUM(C13:H13)</f>
        <v>2417</v>
      </c>
      <c r="J13" s="68">
        <f>I13-G13</f>
        <v>2407</v>
      </c>
    </row>
    <row r="14" spans="1:10" x14ac:dyDescent="0.25">
      <c r="A14" s="1">
        <f t="shared" si="0"/>
        <v>4</v>
      </c>
      <c r="B14" t="s">
        <v>81</v>
      </c>
      <c r="C14" s="68">
        <f>'A1 (FF1 Inputs)'!E112</f>
        <v>1010</v>
      </c>
      <c r="D14" s="68">
        <f>'A1 (FF1 Inputs)'!E126</f>
        <v>5</v>
      </c>
      <c r="E14" s="68">
        <f>'A1 (FF1 Inputs)'!E140</f>
        <v>824</v>
      </c>
      <c r="F14" s="68">
        <f>'A1 (FF1 Inputs)'!E154</f>
        <v>50</v>
      </c>
      <c r="G14" s="68">
        <f>'A1 (FF1 Inputs)'!E168</f>
        <v>10</v>
      </c>
      <c r="H14" s="239">
        <f>'A1 (FF1 Inputs)'!E182</f>
        <v>400</v>
      </c>
      <c r="I14" s="68">
        <f t="shared" ref="I14:I23" si="1">SUM(C14:H14)</f>
        <v>2299</v>
      </c>
      <c r="J14" s="68">
        <f t="shared" ref="J14:J23" si="2">I14-G14</f>
        <v>2289</v>
      </c>
    </row>
    <row r="15" spans="1:10" x14ac:dyDescent="0.25">
      <c r="A15" s="1">
        <f t="shared" si="0"/>
        <v>5</v>
      </c>
      <c r="B15" t="s">
        <v>82</v>
      </c>
      <c r="C15" s="68">
        <f>'A1 (FF1 Inputs)'!E113</f>
        <v>1377</v>
      </c>
      <c r="D15" s="68">
        <f>'A1 (FF1 Inputs)'!E127</f>
        <v>9</v>
      </c>
      <c r="E15" s="68">
        <f>'A1 (FF1 Inputs)'!E141</f>
        <v>824</v>
      </c>
      <c r="F15" s="68">
        <f>'A1 (FF1 Inputs)'!E155</f>
        <v>50</v>
      </c>
      <c r="G15" s="68">
        <f>'A1 (FF1 Inputs)'!E169</f>
        <v>10</v>
      </c>
      <c r="H15" s="239">
        <f>'A1 (FF1 Inputs)'!E183</f>
        <v>400</v>
      </c>
      <c r="I15" s="68">
        <f t="shared" si="1"/>
        <v>2670</v>
      </c>
      <c r="J15" s="68">
        <f t="shared" si="2"/>
        <v>2660</v>
      </c>
    </row>
    <row r="16" spans="1:10" x14ac:dyDescent="0.25">
      <c r="A16" s="1">
        <f t="shared" si="0"/>
        <v>6</v>
      </c>
      <c r="B16" t="s">
        <v>83</v>
      </c>
      <c r="C16" s="68">
        <f>'A1 (FF1 Inputs)'!E114</f>
        <v>1639</v>
      </c>
      <c r="D16" s="68">
        <f>'A1 (FF1 Inputs)'!E128</f>
        <v>11</v>
      </c>
      <c r="E16" s="68">
        <f>'A1 (FF1 Inputs)'!E142</f>
        <v>824</v>
      </c>
      <c r="F16" s="68">
        <f>'A1 (FF1 Inputs)'!E156</f>
        <v>50</v>
      </c>
      <c r="G16" s="68">
        <f>'A1 (FF1 Inputs)'!E170</f>
        <v>10</v>
      </c>
      <c r="H16" s="239">
        <f>'A1 (FF1 Inputs)'!E184</f>
        <v>400</v>
      </c>
      <c r="I16" s="68">
        <f t="shared" si="1"/>
        <v>2934</v>
      </c>
      <c r="J16" s="68">
        <f t="shared" si="2"/>
        <v>2924</v>
      </c>
    </row>
    <row r="17" spans="1:10" x14ac:dyDescent="0.25">
      <c r="A17" s="1">
        <f t="shared" si="0"/>
        <v>7</v>
      </c>
      <c r="B17" t="s">
        <v>84</v>
      </c>
      <c r="C17" s="68">
        <f>'A1 (FF1 Inputs)'!E115</f>
        <v>1919</v>
      </c>
      <c r="D17" s="68">
        <f>'A1 (FF1 Inputs)'!E129</f>
        <v>13</v>
      </c>
      <c r="E17" s="68">
        <f>'A1 (FF1 Inputs)'!E143</f>
        <v>824</v>
      </c>
      <c r="F17" s="68">
        <f>'A1 (FF1 Inputs)'!E157</f>
        <v>50</v>
      </c>
      <c r="G17" s="68">
        <f>'A1 (FF1 Inputs)'!E171</f>
        <v>10</v>
      </c>
      <c r="H17" s="239">
        <f>'A1 (FF1 Inputs)'!E185</f>
        <v>400</v>
      </c>
      <c r="I17" s="68">
        <f t="shared" si="1"/>
        <v>3216</v>
      </c>
      <c r="J17" s="68">
        <f t="shared" si="2"/>
        <v>3206</v>
      </c>
    </row>
    <row r="18" spans="1:10" x14ac:dyDescent="0.25">
      <c r="A18" s="1">
        <f t="shared" si="0"/>
        <v>8</v>
      </c>
      <c r="B18" t="s">
        <v>85</v>
      </c>
      <c r="C18" s="68">
        <f>'A1 (FF1 Inputs)'!E116</f>
        <v>2159</v>
      </c>
      <c r="D18" s="68">
        <f>'A1 (FF1 Inputs)'!E130</f>
        <v>14</v>
      </c>
      <c r="E18" s="68">
        <f>'A1 (FF1 Inputs)'!E144</f>
        <v>824</v>
      </c>
      <c r="F18" s="68">
        <f>'A1 (FF1 Inputs)'!E158</f>
        <v>50</v>
      </c>
      <c r="G18" s="68">
        <f>'A1 (FF1 Inputs)'!E172</f>
        <v>75</v>
      </c>
      <c r="H18" s="239">
        <f>'A1 (FF1 Inputs)'!E186</f>
        <v>400</v>
      </c>
      <c r="I18" s="68">
        <f t="shared" si="1"/>
        <v>3522</v>
      </c>
      <c r="J18" s="68">
        <f t="shared" si="2"/>
        <v>3447</v>
      </c>
    </row>
    <row r="19" spans="1:10" x14ac:dyDescent="0.25">
      <c r="A19" s="1">
        <f t="shared" si="0"/>
        <v>9</v>
      </c>
      <c r="B19" t="s">
        <v>86</v>
      </c>
      <c r="C19" s="68">
        <f>'A1 (FF1 Inputs)'!E117</f>
        <v>2087</v>
      </c>
      <c r="D19" s="68">
        <f>'A1 (FF1 Inputs)'!E131</f>
        <v>13</v>
      </c>
      <c r="E19" s="68">
        <f>'A1 (FF1 Inputs)'!E145</f>
        <v>824</v>
      </c>
      <c r="F19" s="68">
        <f>'A1 (FF1 Inputs)'!E159</f>
        <v>50</v>
      </c>
      <c r="G19" s="68">
        <f>'A1 (FF1 Inputs)'!E173</f>
        <v>75</v>
      </c>
      <c r="H19" s="239">
        <f>'A1 (FF1 Inputs)'!E187</f>
        <v>400</v>
      </c>
      <c r="I19" s="68">
        <f t="shared" si="1"/>
        <v>3449</v>
      </c>
      <c r="J19" s="68">
        <f>I19-G19</f>
        <v>3374</v>
      </c>
    </row>
    <row r="20" spans="1:10" x14ac:dyDescent="0.25">
      <c r="A20" s="1">
        <f t="shared" si="0"/>
        <v>10</v>
      </c>
      <c r="B20" t="s">
        <v>87</v>
      </c>
      <c r="C20" s="68">
        <f>'A1 (FF1 Inputs)'!E118</f>
        <v>1860</v>
      </c>
      <c r="D20" s="68">
        <f>'A1 (FF1 Inputs)'!E132</f>
        <v>10</v>
      </c>
      <c r="E20" s="68">
        <f>'A1 (FF1 Inputs)'!E146</f>
        <v>824</v>
      </c>
      <c r="F20" s="68">
        <f>'A1 (FF1 Inputs)'!E160</f>
        <v>50</v>
      </c>
      <c r="G20" s="68">
        <f>'A1 (FF1 Inputs)'!E174</f>
        <v>264</v>
      </c>
      <c r="H20" s="239">
        <f>'A1 (FF1 Inputs)'!E188</f>
        <v>400</v>
      </c>
      <c r="I20" s="68">
        <f t="shared" si="1"/>
        <v>3408</v>
      </c>
      <c r="J20" s="68">
        <f t="shared" si="2"/>
        <v>3144</v>
      </c>
    </row>
    <row r="21" spans="1:10" x14ac:dyDescent="0.25">
      <c r="A21" s="1">
        <f t="shared" si="0"/>
        <v>11</v>
      </c>
      <c r="B21" t="s">
        <v>88</v>
      </c>
      <c r="C21" s="68">
        <f>'A1 (FF1 Inputs)'!E119</f>
        <v>1442</v>
      </c>
      <c r="D21" s="68">
        <f>'A1 (FF1 Inputs)'!E133</f>
        <v>7</v>
      </c>
      <c r="E21" s="68">
        <f>'A1 (FF1 Inputs)'!E147</f>
        <v>824</v>
      </c>
      <c r="F21" s="68">
        <f>'A1 (FF1 Inputs)'!E161</f>
        <v>50</v>
      </c>
      <c r="G21" s="68">
        <f>'A1 (FF1 Inputs)'!E175</f>
        <v>260</v>
      </c>
      <c r="H21" s="239">
        <f>'A1 (FF1 Inputs)'!E189</f>
        <v>400</v>
      </c>
      <c r="I21" s="68">
        <f t="shared" si="1"/>
        <v>2983</v>
      </c>
      <c r="J21" s="68">
        <f t="shared" si="2"/>
        <v>2723</v>
      </c>
    </row>
    <row r="22" spans="1:10" x14ac:dyDescent="0.25">
      <c r="A22" s="1">
        <f t="shared" si="0"/>
        <v>12</v>
      </c>
      <c r="B22" t="s">
        <v>89</v>
      </c>
      <c r="C22" s="68">
        <f>'A1 (FF1 Inputs)'!E120</f>
        <v>1038</v>
      </c>
      <c r="D22" s="68">
        <f>'A1 (FF1 Inputs)'!E134</f>
        <v>4</v>
      </c>
      <c r="E22" s="68">
        <f>'A1 (FF1 Inputs)'!E148</f>
        <v>824</v>
      </c>
      <c r="F22" s="68">
        <f>'A1 (FF1 Inputs)'!E162</f>
        <v>50</v>
      </c>
      <c r="G22" s="68">
        <f>'A1 (FF1 Inputs)'!E176</f>
        <v>260</v>
      </c>
      <c r="H22" s="239">
        <f>'A1 (FF1 Inputs)'!E190</f>
        <v>400</v>
      </c>
      <c r="I22" s="68">
        <f t="shared" si="1"/>
        <v>2576</v>
      </c>
      <c r="J22" s="68">
        <f t="shared" si="2"/>
        <v>2316</v>
      </c>
    </row>
    <row r="23" spans="1:10" x14ac:dyDescent="0.25">
      <c r="A23" s="1">
        <f t="shared" si="0"/>
        <v>13</v>
      </c>
      <c r="B23" t="s">
        <v>90</v>
      </c>
      <c r="C23" s="68">
        <f>'A1 (FF1 Inputs)'!E121</f>
        <v>1091</v>
      </c>
      <c r="D23" s="68">
        <f>'A1 (FF1 Inputs)'!E135</f>
        <v>6</v>
      </c>
      <c r="E23" s="68">
        <f>'A1 (FF1 Inputs)'!E149</f>
        <v>824</v>
      </c>
      <c r="F23" s="68">
        <f>'A1 (FF1 Inputs)'!E163</f>
        <v>50</v>
      </c>
      <c r="G23" s="68">
        <f>'A1 (FF1 Inputs)'!E177</f>
        <v>260</v>
      </c>
      <c r="H23" s="239">
        <f>'A1 (FF1 Inputs)'!E191</f>
        <v>400</v>
      </c>
      <c r="I23" s="68">
        <f t="shared" si="1"/>
        <v>2631</v>
      </c>
      <c r="J23" s="68">
        <f t="shared" si="2"/>
        <v>2371</v>
      </c>
    </row>
    <row r="24" spans="1:10" x14ac:dyDescent="0.25">
      <c r="A24" s="1">
        <f t="shared" si="0"/>
        <v>14</v>
      </c>
      <c r="B24" t="s">
        <v>609</v>
      </c>
      <c r="C24" s="69">
        <f>SUM(C12:C23)</f>
        <v>17820</v>
      </c>
      <c r="D24" s="69">
        <f t="shared" ref="D24:I24" si="3">SUM(D12:D23)</f>
        <v>105</v>
      </c>
      <c r="E24" s="69">
        <f t="shared" si="3"/>
        <v>9888</v>
      </c>
      <c r="F24" s="69">
        <f t="shared" si="3"/>
        <v>600</v>
      </c>
      <c r="G24" s="69">
        <f t="shared" si="3"/>
        <v>1254</v>
      </c>
      <c r="H24" s="240">
        <f t="shared" si="3"/>
        <v>4800</v>
      </c>
      <c r="I24" s="69">
        <f t="shared" si="3"/>
        <v>34467</v>
      </c>
      <c r="J24" s="69">
        <f>SUM(J12:J23)</f>
        <v>33213</v>
      </c>
    </row>
    <row r="25" spans="1:10" x14ac:dyDescent="0.25">
      <c r="C25" s="10"/>
      <c r="D25" s="10"/>
      <c r="E25" s="10"/>
      <c r="F25" s="10"/>
      <c r="G25" s="10"/>
      <c r="H25" s="231"/>
      <c r="I25" s="10"/>
      <c r="J25" s="10"/>
    </row>
    <row r="26" spans="1:10" x14ac:dyDescent="0.25">
      <c r="A26" s="1">
        <f>A24+1</f>
        <v>15</v>
      </c>
      <c r="B26" t="str">
        <f>"12-Month CP Average (Ln. "&amp;A24&amp;" / 12 Months)"</f>
        <v>12-Month CP Average (Ln. 14 / 12 Months)</v>
      </c>
      <c r="C26" s="10"/>
      <c r="D26" s="10"/>
      <c r="E26" s="10"/>
      <c r="F26" s="10"/>
      <c r="G26" s="60"/>
      <c r="H26" s="231"/>
      <c r="I26" s="10"/>
      <c r="J26" s="70">
        <f>J24/12</f>
        <v>2767.75</v>
      </c>
    </row>
    <row r="27" spans="1:10" x14ac:dyDescent="0.25">
      <c r="A27" s="1">
        <f>A26+1</f>
        <v>16</v>
      </c>
      <c r="B27" t="str">
        <f>"12-Month CP Average (kW) (Ln. "&amp;A26&amp;" x 1,000)"</f>
        <v>12-Month CP Average (kW) (Ln. 15 x 1,000)</v>
      </c>
      <c r="C27" s="10"/>
      <c r="D27" s="10"/>
      <c r="E27" s="10"/>
      <c r="F27" s="10"/>
      <c r="G27" s="60"/>
      <c r="H27" s="10"/>
      <c r="I27" s="10"/>
      <c r="J27" s="70">
        <f>J26*1000</f>
        <v>2767750</v>
      </c>
    </row>
    <row r="28" spans="1:10" ht="5.25" customHeight="1" x14ac:dyDescent="0.25">
      <c r="A28" s="14"/>
      <c r="B28" s="5"/>
      <c r="C28" s="5"/>
      <c r="D28" s="5"/>
      <c r="E28" s="5"/>
      <c r="F28" s="5"/>
      <c r="G28" s="5"/>
      <c r="H28" s="5"/>
      <c r="I28" s="5"/>
      <c r="J28" s="5"/>
    </row>
    <row r="29" spans="1:10" ht="5.25" customHeight="1" x14ac:dyDescent="0.25"/>
    <row r="30" spans="1:10" x14ac:dyDescent="0.25">
      <c r="A30" s="22" t="str">
        <f>note</f>
        <v>Notes and Sources:</v>
      </c>
    </row>
    <row r="31" spans="1:10" x14ac:dyDescent="0.25">
      <c r="A31" s="1">
        <v>1</v>
      </c>
      <c r="B31" t="s">
        <v>869</v>
      </c>
    </row>
    <row r="32" spans="1:10" ht="5.25" customHeight="1" thickBot="1" x14ac:dyDescent="0.3">
      <c r="A32" s="24"/>
      <c r="B32" s="4"/>
      <c r="C32" s="4"/>
      <c r="D32" s="4"/>
      <c r="E32" s="4"/>
      <c r="F32" s="4"/>
      <c r="G32" s="4"/>
      <c r="H32" s="4"/>
      <c r="I32" s="4"/>
      <c r="J32" s="4"/>
    </row>
    <row r="33" ht="5.25" customHeight="1" thickTop="1" x14ac:dyDescent="0.25"/>
  </sheetData>
  <mergeCells count="1">
    <mergeCell ref="A7:A8"/>
  </mergeCells>
  <pageMargins left="0.7" right="0.7" top="0.75" bottom="0.75" header="0.3" footer="0.3"/>
  <pageSetup scale="68" orientation="landscape" horizontalDpi="1200" verticalDpi="1200" r:id="rId1"/>
  <headerFooter>
    <oddFooter>&amp;L&amp;6{W0327924.2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S83"/>
  <sheetViews>
    <sheetView zoomScale="110" zoomScaleNormal="110" workbookViewId="0">
      <selection activeCell="D3" sqref="D3"/>
    </sheetView>
  </sheetViews>
  <sheetFormatPr defaultRowHeight="15.75" x14ac:dyDescent="0.25"/>
  <cols>
    <col min="1" max="1" width="5" style="1" customWidth="1"/>
    <col min="2" max="2" width="12.125" customWidth="1"/>
    <col min="3" max="3" width="46.5" bestFit="1" customWidth="1"/>
    <col min="4" max="4" width="3.375" customWidth="1"/>
    <col min="5" max="5" width="14.875" customWidth="1"/>
    <col min="6" max="6" width="3.125" customWidth="1"/>
    <col min="7" max="7" width="16.125" customWidth="1"/>
    <col min="8" max="8" width="3" customWidth="1"/>
    <col min="9" max="9" width="11.375" customWidth="1"/>
  </cols>
  <sheetData>
    <row r="1" spans="1:14" x14ac:dyDescent="0.25">
      <c r="A1" s="6" t="str">
        <f>epe</f>
        <v>El Paso Electric Company</v>
      </c>
      <c r="G1" s="8"/>
      <c r="I1" s="8" t="s">
        <v>923</v>
      </c>
    </row>
    <row r="2" spans="1:14" x14ac:dyDescent="0.25">
      <c r="A2" t="str">
        <f>frtp</f>
        <v>Formula Rate Template (Projected)</v>
      </c>
    </row>
    <row r="3" spans="1:14" x14ac:dyDescent="0.25">
      <c r="A3" t="s">
        <v>717</v>
      </c>
    </row>
    <row r="4" spans="1:14" x14ac:dyDescent="0.25">
      <c r="A4" t="s">
        <v>1095</v>
      </c>
    </row>
    <row r="5" spans="1:14" ht="5.25" customHeight="1" thickBot="1" x14ac:dyDescent="0.3">
      <c r="A5" s="4"/>
      <c r="B5" s="4"/>
      <c r="C5" s="4"/>
      <c r="D5" s="4"/>
      <c r="E5" s="4"/>
      <c r="F5" s="4"/>
      <c r="G5" s="4"/>
      <c r="H5" s="4"/>
      <c r="I5" s="4"/>
    </row>
    <row r="6" spans="1:14" ht="5.25" customHeight="1" thickTop="1" x14ac:dyDescent="0.25">
      <c r="A6"/>
    </row>
    <row r="7" spans="1:14" s="3" customFormat="1" ht="15.75" customHeight="1" x14ac:dyDescent="0.25">
      <c r="A7" s="267" t="str">
        <f>ln</f>
        <v>Line No.</v>
      </c>
      <c r="B7" s="266" t="s">
        <v>715</v>
      </c>
      <c r="C7" s="266" t="s">
        <v>716</v>
      </c>
      <c r="G7" s="266" t="s">
        <v>1032</v>
      </c>
      <c r="I7" s="292" t="s">
        <v>1158</v>
      </c>
      <c r="J7" s="258"/>
      <c r="K7" s="258"/>
    </row>
    <row r="8" spans="1:14" s="3" customFormat="1" ht="49.9" customHeight="1" x14ac:dyDescent="0.25">
      <c r="A8" s="267"/>
      <c r="B8" s="266"/>
      <c r="C8" s="266"/>
      <c r="E8" s="252" t="s">
        <v>1145</v>
      </c>
      <c r="G8" s="266"/>
      <c r="I8" s="292"/>
      <c r="J8" s="258"/>
      <c r="K8" s="258"/>
    </row>
    <row r="9" spans="1:14" s="1" customFormat="1" x14ac:dyDescent="0.25">
      <c r="A9" s="267"/>
      <c r="B9" s="1" t="s">
        <v>7</v>
      </c>
      <c r="C9" s="1" t="s">
        <v>8</v>
      </c>
      <c r="E9" s="215" t="s">
        <v>9</v>
      </c>
      <c r="G9" s="209" t="s">
        <v>10</v>
      </c>
      <c r="I9" s="1" t="s">
        <v>11</v>
      </c>
    </row>
    <row r="10" spans="1:14" ht="5.25" customHeight="1" x14ac:dyDescent="0.25">
      <c r="A10" s="5"/>
      <c r="B10" s="5"/>
      <c r="C10" s="5"/>
      <c r="D10" s="5"/>
      <c r="E10" s="216"/>
      <c r="F10" s="5"/>
      <c r="G10" s="5"/>
      <c r="H10" s="5"/>
      <c r="I10" s="5"/>
      <c r="J10" s="1"/>
      <c r="K10" s="1"/>
      <c r="L10" s="1"/>
      <c r="M10" s="1"/>
      <c r="N10" s="1"/>
    </row>
    <row r="11" spans="1:14" ht="5.25" customHeight="1" x14ac:dyDescent="0.25">
      <c r="A11"/>
      <c r="E11" s="217"/>
      <c r="J11" s="1"/>
      <c r="K11" s="1"/>
      <c r="L11" s="1"/>
      <c r="M11" s="1"/>
      <c r="N11" s="1"/>
    </row>
    <row r="12" spans="1:14" x14ac:dyDescent="0.25">
      <c r="A12" s="209"/>
      <c r="B12" s="221" t="s">
        <v>1068</v>
      </c>
      <c r="C12" s="210"/>
      <c r="D12" s="210"/>
      <c r="E12" s="217"/>
      <c r="F12" s="210"/>
      <c r="G12" s="210"/>
    </row>
    <row r="13" spans="1:14" x14ac:dyDescent="0.25">
      <c r="A13" s="209">
        <v>1</v>
      </c>
      <c r="B13" s="222">
        <v>311</v>
      </c>
      <c r="C13" s="210" t="s">
        <v>746</v>
      </c>
      <c r="D13" s="210"/>
      <c r="E13" s="217"/>
      <c r="F13" s="210"/>
      <c r="G13" s="27">
        <v>4.1700000000000001E-2</v>
      </c>
      <c r="I13" s="249"/>
    </row>
    <row r="14" spans="1:14" x14ac:dyDescent="0.25">
      <c r="A14" s="209">
        <f>A13+1</f>
        <v>2</v>
      </c>
      <c r="B14" s="222">
        <v>312</v>
      </c>
      <c r="C14" s="210" t="s">
        <v>1069</v>
      </c>
      <c r="D14" s="210"/>
      <c r="E14" s="217"/>
      <c r="F14" s="210"/>
      <c r="G14" s="27">
        <v>3.7400000000000003E-2</v>
      </c>
      <c r="I14" s="249"/>
    </row>
    <row r="15" spans="1:14" x14ac:dyDescent="0.25">
      <c r="A15" s="209">
        <f t="shared" ref="A15:A18" si="0">A14+1</f>
        <v>3</v>
      </c>
      <c r="B15" s="222">
        <v>313</v>
      </c>
      <c r="C15" s="210" t="s">
        <v>1070</v>
      </c>
      <c r="D15" s="210"/>
      <c r="E15" s="217"/>
      <c r="F15" s="210"/>
      <c r="G15" s="27">
        <v>4.7899999999999998E-2</v>
      </c>
      <c r="I15" s="249"/>
    </row>
    <row r="16" spans="1:14" x14ac:dyDescent="0.25">
      <c r="A16" s="209">
        <f t="shared" si="0"/>
        <v>4</v>
      </c>
      <c r="B16" s="222">
        <v>314</v>
      </c>
      <c r="C16" s="210" t="s">
        <v>1071</v>
      </c>
      <c r="D16" s="210"/>
      <c r="E16" s="217"/>
      <c r="F16" s="210"/>
      <c r="G16" s="27">
        <v>3.8399999999999997E-2</v>
      </c>
      <c r="I16" s="249"/>
    </row>
    <row r="17" spans="1:14" x14ac:dyDescent="0.25">
      <c r="A17" s="209">
        <f t="shared" si="0"/>
        <v>5</v>
      </c>
      <c r="B17" s="222">
        <v>315</v>
      </c>
      <c r="C17" s="210" t="s">
        <v>1072</v>
      </c>
      <c r="D17" s="210"/>
      <c r="E17" s="217"/>
      <c r="F17" s="210"/>
      <c r="G17" s="27">
        <v>3.2899999999999999E-2</v>
      </c>
      <c r="I17" s="249"/>
    </row>
    <row r="18" spans="1:14" x14ac:dyDescent="0.25">
      <c r="A18" s="209">
        <f t="shared" si="0"/>
        <v>6</v>
      </c>
      <c r="B18" s="222">
        <v>316</v>
      </c>
      <c r="C18" s="210" t="s">
        <v>1073</v>
      </c>
      <c r="D18" s="210"/>
      <c r="E18" s="217"/>
      <c r="F18" s="210"/>
      <c r="G18" s="27">
        <v>3.7699999999999997E-2</v>
      </c>
      <c r="I18" s="249"/>
    </row>
    <row r="19" spans="1:14" x14ac:dyDescent="0.25">
      <c r="A19" s="209"/>
      <c r="B19" s="222"/>
      <c r="C19" s="210"/>
      <c r="D19" s="210"/>
      <c r="E19" s="217"/>
      <c r="F19" s="210"/>
      <c r="G19" s="27"/>
      <c r="I19" s="249"/>
    </row>
    <row r="20" spans="1:14" x14ac:dyDescent="0.25">
      <c r="A20" s="209"/>
      <c r="B20" s="221" t="s">
        <v>1074</v>
      </c>
      <c r="C20" s="210"/>
      <c r="D20" s="210"/>
      <c r="E20" s="217"/>
      <c r="F20" s="210"/>
      <c r="G20" s="210"/>
      <c r="I20" s="250"/>
    </row>
    <row r="21" spans="1:14" x14ac:dyDescent="0.25">
      <c r="A21" s="209">
        <f>A18+1</f>
        <v>7</v>
      </c>
      <c r="B21" s="222">
        <v>341</v>
      </c>
      <c r="C21" s="210" t="s">
        <v>746</v>
      </c>
      <c r="D21" s="210"/>
      <c r="E21" s="217"/>
      <c r="F21" s="210"/>
      <c r="G21" s="27">
        <v>3.4599999999999999E-2</v>
      </c>
      <c r="I21" s="249"/>
    </row>
    <row r="22" spans="1:14" x14ac:dyDescent="0.25">
      <c r="A22" s="209">
        <f>A21+1</f>
        <v>8</v>
      </c>
      <c r="B22" s="222">
        <v>342</v>
      </c>
      <c r="C22" s="210" t="s">
        <v>1075</v>
      </c>
      <c r="D22" s="210"/>
      <c r="E22" s="217"/>
      <c r="F22" s="210"/>
      <c r="G22" s="27">
        <v>3.5200000000000002E-2</v>
      </c>
      <c r="I22" s="249"/>
    </row>
    <row r="23" spans="1:14" x14ac:dyDescent="0.25">
      <c r="A23" s="209">
        <f>A22+1</f>
        <v>9</v>
      </c>
      <c r="B23" s="222">
        <v>343</v>
      </c>
      <c r="C23" s="210" t="s">
        <v>1076</v>
      </c>
      <c r="D23" s="210"/>
      <c r="E23" s="217"/>
      <c r="F23" s="210"/>
      <c r="G23" s="27">
        <v>3.7900000000000003E-2</v>
      </c>
      <c r="I23" s="249"/>
    </row>
    <row r="24" spans="1:14" x14ac:dyDescent="0.25">
      <c r="A24" s="209">
        <f>A23+1</f>
        <v>10</v>
      </c>
      <c r="B24" s="222">
        <v>344</v>
      </c>
      <c r="C24" s="210" t="s">
        <v>1077</v>
      </c>
      <c r="D24" s="210"/>
      <c r="E24" s="217"/>
      <c r="F24" s="210"/>
      <c r="G24" s="27">
        <v>3.6200000000000003E-2</v>
      </c>
      <c r="I24" s="249"/>
    </row>
    <row r="25" spans="1:14" x14ac:dyDescent="0.25">
      <c r="A25" s="209">
        <f>A24+1</f>
        <v>11</v>
      </c>
      <c r="B25" s="222">
        <v>345</v>
      </c>
      <c r="C25" s="210" t="s">
        <v>1072</v>
      </c>
      <c r="D25" s="210"/>
      <c r="E25" s="217"/>
      <c r="F25" s="210"/>
      <c r="G25" s="27">
        <v>3.9E-2</v>
      </c>
      <c r="I25" s="249"/>
    </row>
    <row r="26" spans="1:14" x14ac:dyDescent="0.25">
      <c r="A26" s="209">
        <f>A25+1</f>
        <v>12</v>
      </c>
      <c r="B26" s="222">
        <v>346</v>
      </c>
      <c r="C26" s="210" t="s">
        <v>1073</v>
      </c>
      <c r="D26" s="210"/>
      <c r="E26" s="217"/>
      <c r="F26" s="210"/>
      <c r="G26" s="27">
        <v>3.7100000000000001E-2</v>
      </c>
      <c r="I26" s="249"/>
    </row>
    <row r="27" spans="1:14" x14ac:dyDescent="0.25">
      <c r="B27" s="21" t="s">
        <v>286</v>
      </c>
      <c r="E27" s="217"/>
      <c r="G27" s="27"/>
      <c r="I27" s="27"/>
      <c r="J27" s="1"/>
      <c r="K27" s="1"/>
      <c r="L27" s="1"/>
      <c r="M27" s="1"/>
      <c r="N27" s="1"/>
    </row>
    <row r="28" spans="1:14" x14ac:dyDescent="0.25">
      <c r="A28" s="1">
        <f>+A26+1</f>
        <v>13</v>
      </c>
      <c r="B28" s="109">
        <v>350.1</v>
      </c>
      <c r="C28" t="s">
        <v>747</v>
      </c>
      <c r="E28" s="264">
        <v>9.9000000000000008E-3</v>
      </c>
      <c r="G28" s="27">
        <v>1.0200000000000001E-2</v>
      </c>
      <c r="I28" s="27">
        <v>1.0200000000000001E-2</v>
      </c>
      <c r="J28" s="1"/>
      <c r="K28" s="1"/>
      <c r="L28" s="1"/>
      <c r="M28" s="1"/>
      <c r="N28" s="1"/>
    </row>
    <row r="29" spans="1:14" x14ac:dyDescent="0.25">
      <c r="A29" s="1">
        <f t="shared" ref="A29:A35" si="1">A28+1</f>
        <v>14</v>
      </c>
      <c r="B29" s="109">
        <v>350.1</v>
      </c>
      <c r="C29" t="s">
        <v>750</v>
      </c>
      <c r="E29" s="264">
        <v>0.04</v>
      </c>
      <c r="G29" s="27">
        <v>3.7900000000000003E-2</v>
      </c>
      <c r="I29" s="27">
        <v>3.7900000000000003E-2</v>
      </c>
      <c r="J29" s="1"/>
      <c r="K29" s="1"/>
      <c r="L29" s="1"/>
      <c r="M29" s="1"/>
      <c r="N29" s="1"/>
    </row>
    <row r="30" spans="1:14" x14ac:dyDescent="0.25">
      <c r="A30" s="1">
        <f t="shared" si="1"/>
        <v>15</v>
      </c>
      <c r="B30" s="109">
        <v>352</v>
      </c>
      <c r="C30" t="s">
        <v>746</v>
      </c>
      <c r="E30" s="264">
        <v>1.3299999999999999E-2</v>
      </c>
      <c r="G30" s="27">
        <v>1.1599999999999999E-2</v>
      </c>
      <c r="I30" s="27">
        <v>1.1599999999999999E-2</v>
      </c>
      <c r="J30" s="1"/>
      <c r="K30" s="209"/>
      <c r="L30" s="1"/>
      <c r="M30" s="1"/>
      <c r="N30" s="1"/>
    </row>
    <row r="31" spans="1:14" x14ac:dyDescent="0.25">
      <c r="A31" s="1">
        <f t="shared" si="1"/>
        <v>16</v>
      </c>
      <c r="B31" s="109">
        <v>353</v>
      </c>
      <c r="C31" t="s">
        <v>748</v>
      </c>
      <c r="E31" s="264">
        <v>0.01</v>
      </c>
      <c r="G31" s="27">
        <v>1.5599999999999999E-2</v>
      </c>
      <c r="H31" s="210"/>
      <c r="I31" s="27">
        <v>1.2441699620082285E-2</v>
      </c>
      <c r="J31" s="1"/>
      <c r="K31" s="253"/>
      <c r="L31" s="1"/>
      <c r="M31" s="1"/>
      <c r="N31" s="1"/>
    </row>
    <row r="32" spans="1:14" x14ac:dyDescent="0.25">
      <c r="A32" s="1">
        <f t="shared" si="1"/>
        <v>17</v>
      </c>
      <c r="B32" s="109">
        <v>354</v>
      </c>
      <c r="C32" t="s">
        <v>751</v>
      </c>
      <c r="E32" s="264">
        <v>1.29E-2</v>
      </c>
      <c r="G32" s="27">
        <v>1.1900000000000001E-2</v>
      </c>
      <c r="H32" s="210"/>
      <c r="I32" s="27">
        <v>1.1900000000000001E-2</v>
      </c>
      <c r="J32" s="1"/>
      <c r="K32" s="209"/>
      <c r="L32" s="1"/>
      <c r="M32" s="1"/>
      <c r="N32" s="1"/>
    </row>
    <row r="33" spans="1:14" x14ac:dyDescent="0.25">
      <c r="A33" s="1">
        <f t="shared" si="1"/>
        <v>18</v>
      </c>
      <c r="B33" s="109">
        <v>355</v>
      </c>
      <c r="C33" t="s">
        <v>752</v>
      </c>
      <c r="E33" s="264">
        <v>1.7600000000000001E-2</v>
      </c>
      <c r="G33" s="27">
        <v>1.9099999999999999E-2</v>
      </c>
      <c r="H33" s="210"/>
      <c r="I33" s="27">
        <v>1.6829052388418909E-2</v>
      </c>
      <c r="J33" s="1"/>
      <c r="K33" s="253"/>
      <c r="L33" s="1"/>
      <c r="M33" s="1"/>
      <c r="N33" s="1"/>
    </row>
    <row r="34" spans="1:14" x14ac:dyDescent="0.25">
      <c r="A34" s="1">
        <f t="shared" si="1"/>
        <v>19</v>
      </c>
      <c r="B34" s="109">
        <v>356</v>
      </c>
      <c r="C34" t="s">
        <v>1002</v>
      </c>
      <c r="E34" s="264">
        <v>1.3599999999999999E-2</v>
      </c>
      <c r="G34" s="27">
        <v>1.61E-2</v>
      </c>
      <c r="H34" s="210"/>
      <c r="I34" s="27">
        <v>1.3658192776747532E-2</v>
      </c>
      <c r="J34" s="1"/>
      <c r="K34" s="253"/>
      <c r="L34" s="1"/>
      <c r="M34" s="1"/>
      <c r="N34" s="1"/>
    </row>
    <row r="35" spans="1:14" x14ac:dyDescent="0.25">
      <c r="A35" s="1">
        <f t="shared" si="1"/>
        <v>20</v>
      </c>
      <c r="B35" s="109">
        <v>359</v>
      </c>
      <c r="C35" t="s">
        <v>749</v>
      </c>
      <c r="E35" s="264">
        <v>1.0500000000000001E-2</v>
      </c>
      <c r="G35" s="27">
        <v>1.2800000000000001E-2</v>
      </c>
      <c r="I35" s="27">
        <v>1.2800000000000001E-2</v>
      </c>
      <c r="J35" s="1"/>
      <c r="K35" s="209"/>
      <c r="L35" s="1"/>
      <c r="M35" s="1"/>
      <c r="N35" s="1"/>
    </row>
    <row r="36" spans="1:14" x14ac:dyDescent="0.25">
      <c r="B36" s="109"/>
      <c r="E36" s="217"/>
      <c r="G36" s="27"/>
      <c r="I36" s="27"/>
      <c r="J36" s="1"/>
      <c r="K36" s="1"/>
      <c r="L36" s="1"/>
      <c r="M36" s="1"/>
      <c r="N36" s="1"/>
    </row>
    <row r="37" spans="1:14" x14ac:dyDescent="0.25">
      <c r="B37" s="109"/>
      <c r="E37" s="217"/>
      <c r="G37" s="27"/>
      <c r="I37" s="27"/>
      <c r="J37" s="1"/>
      <c r="K37" s="1"/>
      <c r="L37" s="1"/>
      <c r="M37" s="1"/>
      <c r="N37" s="1"/>
    </row>
    <row r="38" spans="1:14" x14ac:dyDescent="0.25">
      <c r="A38" s="209"/>
      <c r="B38" s="221" t="s">
        <v>287</v>
      </c>
      <c r="C38" s="210"/>
      <c r="D38" s="210"/>
      <c r="E38" s="217"/>
      <c r="F38" s="210"/>
      <c r="G38" s="27"/>
      <c r="I38" s="249"/>
    </row>
    <row r="39" spans="1:14" x14ac:dyDescent="0.25">
      <c r="A39" s="209">
        <f>+A35+1</f>
        <v>21</v>
      </c>
      <c r="B39" s="222">
        <v>360.1</v>
      </c>
      <c r="C39" s="210" t="s">
        <v>747</v>
      </c>
      <c r="D39" s="210"/>
      <c r="E39" s="217"/>
      <c r="F39" s="210"/>
      <c r="G39" s="27">
        <v>1.32E-2</v>
      </c>
      <c r="I39" s="249"/>
    </row>
    <row r="40" spans="1:14" x14ac:dyDescent="0.25">
      <c r="A40" s="209">
        <f t="shared" ref="A40:A50" si="2">A39+1</f>
        <v>22</v>
      </c>
      <c r="B40" s="222">
        <v>361</v>
      </c>
      <c r="C40" s="210" t="s">
        <v>746</v>
      </c>
      <c r="D40" s="210"/>
      <c r="E40" s="217"/>
      <c r="F40" s="210"/>
      <c r="G40" s="27">
        <v>1.46E-2</v>
      </c>
      <c r="I40" s="249"/>
    </row>
    <row r="41" spans="1:14" x14ac:dyDescent="0.25">
      <c r="A41" s="209">
        <f t="shared" si="2"/>
        <v>23</v>
      </c>
      <c r="B41" s="222">
        <v>362</v>
      </c>
      <c r="C41" s="210" t="s">
        <v>748</v>
      </c>
      <c r="D41" s="210"/>
      <c r="E41" s="217"/>
      <c r="F41" s="210"/>
      <c r="G41" s="27">
        <v>1.43E-2</v>
      </c>
      <c r="I41" s="249"/>
    </row>
    <row r="42" spans="1:14" x14ac:dyDescent="0.25">
      <c r="A42" s="209">
        <f t="shared" si="2"/>
        <v>24</v>
      </c>
      <c r="B42" s="222">
        <v>364</v>
      </c>
      <c r="C42" s="210" t="s">
        <v>1078</v>
      </c>
      <c r="D42" s="210"/>
      <c r="E42" s="217"/>
      <c r="F42" s="210"/>
      <c r="G42" s="27">
        <v>3.1099999999999999E-2</v>
      </c>
      <c r="I42" s="249"/>
    </row>
    <row r="43" spans="1:14" x14ac:dyDescent="0.25">
      <c r="A43" s="209">
        <f t="shared" si="2"/>
        <v>25</v>
      </c>
      <c r="B43" s="222">
        <v>365</v>
      </c>
      <c r="C43" s="210" t="s">
        <v>1079</v>
      </c>
      <c r="D43" s="210"/>
      <c r="E43" s="217"/>
      <c r="F43" s="210"/>
      <c r="G43" s="27">
        <v>2.35E-2</v>
      </c>
      <c r="I43" s="249"/>
    </row>
    <row r="44" spans="1:14" x14ac:dyDescent="0.25">
      <c r="A44" s="209">
        <f t="shared" si="2"/>
        <v>26</v>
      </c>
      <c r="B44" s="222">
        <v>366</v>
      </c>
      <c r="C44" s="210" t="s">
        <v>1080</v>
      </c>
      <c r="D44" s="210"/>
      <c r="E44" s="217"/>
      <c r="F44" s="210"/>
      <c r="G44" s="27">
        <v>1.4999999999999999E-2</v>
      </c>
      <c r="I44" s="249"/>
    </row>
    <row r="45" spans="1:14" x14ac:dyDescent="0.25">
      <c r="A45" s="209">
        <f t="shared" si="2"/>
        <v>27</v>
      </c>
      <c r="B45" s="222">
        <v>367</v>
      </c>
      <c r="C45" s="210" t="s">
        <v>1081</v>
      </c>
      <c r="D45" s="210"/>
      <c r="E45" s="217"/>
      <c r="F45" s="210"/>
      <c r="G45" s="27">
        <v>3.0700000000000002E-2</v>
      </c>
      <c r="I45" s="249"/>
    </row>
    <row r="46" spans="1:14" x14ac:dyDescent="0.25">
      <c r="A46" s="209">
        <f t="shared" si="2"/>
        <v>28</v>
      </c>
      <c r="B46" s="222">
        <v>368</v>
      </c>
      <c r="C46" s="210" t="s">
        <v>1082</v>
      </c>
      <c r="D46" s="210"/>
      <c r="E46" s="217"/>
      <c r="F46" s="210"/>
      <c r="G46" s="27">
        <v>2.3400000000000001E-2</v>
      </c>
      <c r="I46" s="249"/>
    </row>
    <row r="47" spans="1:14" x14ac:dyDescent="0.25">
      <c r="A47" s="209">
        <f t="shared" si="2"/>
        <v>29</v>
      </c>
      <c r="B47" s="222">
        <v>369</v>
      </c>
      <c r="C47" s="210" t="s">
        <v>1083</v>
      </c>
      <c r="D47" s="210"/>
      <c r="E47" s="217"/>
      <c r="F47" s="210"/>
      <c r="G47" s="27">
        <v>1.38E-2</v>
      </c>
      <c r="I47" s="249"/>
    </row>
    <row r="48" spans="1:14" x14ac:dyDescent="0.25">
      <c r="A48" s="209">
        <f t="shared" si="2"/>
        <v>30</v>
      </c>
      <c r="B48" s="222">
        <v>370</v>
      </c>
      <c r="C48" s="210" t="s">
        <v>1084</v>
      </c>
      <c r="D48" s="210"/>
      <c r="E48" s="217"/>
      <c r="F48" s="210"/>
      <c r="G48" s="27">
        <v>2.6200000000000001E-2</v>
      </c>
      <c r="I48" s="249"/>
    </row>
    <row r="49" spans="1:14" x14ac:dyDescent="0.25">
      <c r="A49" s="209">
        <f t="shared" si="2"/>
        <v>31</v>
      </c>
      <c r="B49" s="222">
        <v>371</v>
      </c>
      <c r="C49" s="210" t="s">
        <v>1085</v>
      </c>
      <c r="D49" s="210"/>
      <c r="E49" s="217"/>
      <c r="F49" s="210"/>
      <c r="G49" s="27">
        <v>3.2199999999999999E-2</v>
      </c>
      <c r="I49" s="249"/>
    </row>
    <row r="50" spans="1:14" x14ac:dyDescent="0.25">
      <c r="A50" s="209">
        <f t="shared" si="2"/>
        <v>32</v>
      </c>
      <c r="B50" s="222">
        <v>373</v>
      </c>
      <c r="C50" s="210" t="s">
        <v>1086</v>
      </c>
      <c r="D50" s="210"/>
      <c r="E50" s="217"/>
      <c r="F50" s="210"/>
      <c r="G50" s="27">
        <v>2.06E-2</v>
      </c>
      <c r="I50" s="249"/>
    </row>
    <row r="51" spans="1:14" x14ac:dyDescent="0.25">
      <c r="A51" s="209"/>
      <c r="B51" s="222"/>
      <c r="C51" s="210"/>
      <c r="D51" s="210"/>
      <c r="E51" s="217"/>
      <c r="F51" s="210"/>
      <c r="G51" s="27"/>
      <c r="I51" s="249"/>
    </row>
    <row r="52" spans="1:14" x14ac:dyDescent="0.25">
      <c r="B52" s="21" t="s">
        <v>753</v>
      </c>
      <c r="E52" s="217"/>
      <c r="G52" s="27"/>
      <c r="I52" s="27"/>
      <c r="J52" s="1"/>
      <c r="K52" s="1"/>
      <c r="L52" s="1"/>
      <c r="M52" s="1"/>
      <c r="N52" s="1"/>
    </row>
    <row r="53" spans="1:14" x14ac:dyDescent="0.25">
      <c r="A53" s="1">
        <f>+A50+1</f>
        <v>33</v>
      </c>
      <c r="B53" s="109">
        <v>390</v>
      </c>
      <c r="C53" t="s">
        <v>754</v>
      </c>
      <c r="E53" s="206">
        <v>2.29E-2</v>
      </c>
      <c r="G53" s="27">
        <v>3.6600000000000001E-2</v>
      </c>
      <c r="I53" s="27">
        <v>3.6600000000000001E-2</v>
      </c>
      <c r="J53" s="1"/>
      <c r="K53" s="1"/>
      <c r="L53" s="1"/>
      <c r="M53" s="1"/>
      <c r="N53" s="1"/>
    </row>
    <row r="54" spans="1:14" x14ac:dyDescent="0.25">
      <c r="A54" s="1">
        <f t="shared" ref="A54:A66" si="3">A53+1</f>
        <v>34</v>
      </c>
      <c r="B54" s="109">
        <v>390</v>
      </c>
      <c r="C54" t="s">
        <v>755</v>
      </c>
      <c r="E54" s="206">
        <v>1.7999999999999999E-2</v>
      </c>
      <c r="G54" s="27">
        <v>2.3E-2</v>
      </c>
      <c r="I54" s="27">
        <v>2.3E-2</v>
      </c>
      <c r="J54" s="1"/>
      <c r="K54" s="1"/>
      <c r="L54" s="1"/>
      <c r="M54" s="1"/>
      <c r="N54" s="1"/>
    </row>
    <row r="55" spans="1:14" x14ac:dyDescent="0.25">
      <c r="A55" s="1">
        <f t="shared" si="3"/>
        <v>35</v>
      </c>
      <c r="B55" s="109">
        <v>390</v>
      </c>
      <c r="C55" t="s">
        <v>756</v>
      </c>
      <c r="E55" s="206">
        <v>1.7399999999999999E-2</v>
      </c>
      <c r="G55" s="27">
        <v>2.1100000000000001E-2</v>
      </c>
      <c r="I55" s="27">
        <v>2.1100000000000001E-2</v>
      </c>
      <c r="J55" s="1"/>
      <c r="K55" s="1"/>
      <c r="L55" s="1"/>
      <c r="M55" s="1"/>
      <c r="N55" s="1"/>
    </row>
    <row r="56" spans="1:14" x14ac:dyDescent="0.25">
      <c r="A56" s="1">
        <f t="shared" si="3"/>
        <v>36</v>
      </c>
      <c r="B56" s="109">
        <v>390</v>
      </c>
      <c r="C56" t="s">
        <v>757</v>
      </c>
      <c r="E56" s="206">
        <v>1.06E-2</v>
      </c>
      <c r="G56" s="27">
        <v>2.9700000000000001E-2</v>
      </c>
      <c r="I56" s="27">
        <v>2.9700000000000001E-2</v>
      </c>
      <c r="J56" s="1"/>
      <c r="K56" s="1"/>
      <c r="L56" s="1"/>
      <c r="M56" s="1"/>
      <c r="N56" s="1"/>
    </row>
    <row r="57" spans="1:14" x14ac:dyDescent="0.25">
      <c r="A57" s="209">
        <f t="shared" si="3"/>
        <v>37</v>
      </c>
      <c r="B57" s="222">
        <v>390</v>
      </c>
      <c r="C57" s="251" t="s">
        <v>1131</v>
      </c>
      <c r="D57" s="210"/>
      <c r="E57" s="206">
        <v>1.43E-2</v>
      </c>
      <c r="F57" s="210"/>
      <c r="G57" s="27">
        <v>2.9700000000000001E-2</v>
      </c>
      <c r="H57" s="210"/>
      <c r="I57" s="27">
        <v>2.9700000000000001E-2</v>
      </c>
      <c r="J57" s="218"/>
      <c r="K57" s="218"/>
      <c r="L57" s="218"/>
      <c r="M57" s="218"/>
      <c r="N57" s="218"/>
    </row>
    <row r="58" spans="1:14" x14ac:dyDescent="0.25">
      <c r="A58" s="209">
        <f t="shared" si="3"/>
        <v>38</v>
      </c>
      <c r="B58" s="222">
        <v>390</v>
      </c>
      <c r="C58" s="251" t="s">
        <v>1132</v>
      </c>
      <c r="D58" s="210"/>
      <c r="E58" s="206">
        <v>6.6699999999999995E-2</v>
      </c>
      <c r="F58" s="210"/>
      <c r="G58" s="27">
        <v>2.9700000000000001E-2</v>
      </c>
      <c r="H58" s="210"/>
      <c r="I58" s="27">
        <v>2.9700000000000001E-2</v>
      </c>
      <c r="J58" s="218"/>
      <c r="K58" s="218"/>
      <c r="L58" s="218"/>
      <c r="M58" s="218"/>
      <c r="N58" s="218"/>
    </row>
    <row r="59" spans="1:14" x14ac:dyDescent="0.25">
      <c r="A59" s="209">
        <f t="shared" si="3"/>
        <v>39</v>
      </c>
      <c r="B59" s="222">
        <v>390</v>
      </c>
      <c r="C59" s="251" t="s">
        <v>1133</v>
      </c>
      <c r="D59" s="210"/>
      <c r="E59" s="206">
        <v>1.06E-2</v>
      </c>
      <c r="F59" s="210"/>
      <c r="G59" s="27">
        <v>2.9700000000000001E-2</v>
      </c>
      <c r="H59" s="210"/>
      <c r="I59" s="27">
        <v>2.9700000000000001E-2</v>
      </c>
      <c r="J59" s="218"/>
      <c r="K59" s="218"/>
      <c r="L59" s="218"/>
      <c r="M59" s="218"/>
      <c r="N59" s="218"/>
    </row>
    <row r="60" spans="1:14" x14ac:dyDescent="0.25">
      <c r="A60" s="209">
        <f t="shared" si="3"/>
        <v>40</v>
      </c>
      <c r="B60" s="222">
        <v>391</v>
      </c>
      <c r="C60" s="210" t="s">
        <v>758</v>
      </c>
      <c r="D60" s="210"/>
      <c r="E60" s="206">
        <v>1.7100000000000001E-2</v>
      </c>
      <c r="G60" s="27">
        <v>4.8999999999999998E-3</v>
      </c>
      <c r="I60" s="27">
        <v>4.8999999999999998E-3</v>
      </c>
      <c r="J60" s="1"/>
      <c r="K60" s="1"/>
      <c r="L60" s="1"/>
      <c r="M60" s="1"/>
      <c r="N60" s="1"/>
    </row>
    <row r="61" spans="1:14" x14ac:dyDescent="0.25">
      <c r="A61" s="209">
        <f t="shared" si="3"/>
        <v>41</v>
      </c>
      <c r="B61" s="222">
        <v>393</v>
      </c>
      <c r="C61" s="210" t="s">
        <v>759</v>
      </c>
      <c r="D61" s="210"/>
      <c r="E61" s="206">
        <v>3.9600000000000003E-2</v>
      </c>
      <c r="G61" s="27">
        <v>3.7000000000000002E-3</v>
      </c>
      <c r="I61" s="27">
        <v>3.7000000000000002E-3</v>
      </c>
    </row>
    <row r="62" spans="1:14" x14ac:dyDescent="0.25">
      <c r="A62" s="209">
        <f t="shared" si="3"/>
        <v>42</v>
      </c>
      <c r="B62" s="222">
        <v>394</v>
      </c>
      <c r="C62" s="210" t="s">
        <v>760</v>
      </c>
      <c r="D62" s="210"/>
      <c r="E62" s="206">
        <v>3.8300000000000001E-2</v>
      </c>
      <c r="G62" s="27">
        <v>3.44E-2</v>
      </c>
      <c r="I62" s="27">
        <v>3.44E-2</v>
      </c>
    </row>
    <row r="63" spans="1:14" x14ac:dyDescent="0.25">
      <c r="A63" s="209">
        <f t="shared" si="3"/>
        <v>43</v>
      </c>
      <c r="B63" s="222">
        <v>395</v>
      </c>
      <c r="C63" s="210" t="s">
        <v>761</v>
      </c>
      <c r="D63" s="210"/>
      <c r="E63" s="206">
        <v>6.4699999999999994E-2</v>
      </c>
      <c r="G63" s="27">
        <v>6.6500000000000004E-2</v>
      </c>
      <c r="I63" s="27">
        <v>6.6500000000000004E-2</v>
      </c>
    </row>
    <row r="64" spans="1:14" x14ac:dyDescent="0.25">
      <c r="A64" s="209">
        <f t="shared" si="3"/>
        <v>44</v>
      </c>
      <c r="B64" s="222">
        <v>396</v>
      </c>
      <c r="C64" s="210" t="s">
        <v>762</v>
      </c>
      <c r="D64" s="210"/>
      <c r="E64" s="206">
        <v>4.58E-2</v>
      </c>
      <c r="G64" s="27">
        <v>3.8600000000000002E-2</v>
      </c>
      <c r="I64" s="27">
        <v>3.8600000000000002E-2</v>
      </c>
    </row>
    <row r="65" spans="1:19" x14ac:dyDescent="0.25">
      <c r="A65" s="209">
        <f t="shared" si="3"/>
        <v>45</v>
      </c>
      <c r="B65" s="222">
        <v>397</v>
      </c>
      <c r="C65" s="210" t="s">
        <v>763</v>
      </c>
      <c r="D65" s="210"/>
      <c r="E65" s="206">
        <v>6.4799999999999996E-2</v>
      </c>
      <c r="G65" s="74">
        <v>8.43E-2</v>
      </c>
      <c r="I65" s="74">
        <v>8.43E-2</v>
      </c>
    </row>
    <row r="66" spans="1:19" x14ac:dyDescent="0.25">
      <c r="A66" s="209">
        <f t="shared" si="3"/>
        <v>46</v>
      </c>
      <c r="B66" s="222">
        <v>398</v>
      </c>
      <c r="C66" s="210" t="s">
        <v>764</v>
      </c>
      <c r="D66" s="210"/>
      <c r="E66" s="206">
        <v>6.6500000000000004E-2</v>
      </c>
      <c r="G66" s="74">
        <v>8.72E-2</v>
      </c>
      <c r="I66" s="74">
        <v>8.72E-2</v>
      </c>
    </row>
    <row r="67" spans="1:19" x14ac:dyDescent="0.25">
      <c r="B67" s="109"/>
      <c r="E67" s="206"/>
      <c r="G67" s="74"/>
      <c r="I67" s="74"/>
    </row>
    <row r="68" spans="1:19" ht="18.75" x14ac:dyDescent="0.25">
      <c r="A68" s="209"/>
      <c r="B68" s="221" t="s">
        <v>1087</v>
      </c>
      <c r="C68" s="210"/>
      <c r="D68" s="210"/>
      <c r="E68" s="217"/>
      <c r="F68" s="210"/>
      <c r="G68" s="74"/>
      <c r="H68" s="210"/>
      <c r="I68" s="74"/>
    </row>
    <row r="69" spans="1:19" x14ac:dyDescent="0.25">
      <c r="A69" s="209">
        <f>A66+1</f>
        <v>47</v>
      </c>
      <c r="B69" s="222">
        <v>303.10000000000002</v>
      </c>
      <c r="C69" s="210" t="s">
        <v>1088</v>
      </c>
      <c r="D69" s="210"/>
      <c r="E69" s="217"/>
      <c r="F69" s="210"/>
      <c r="G69" s="74">
        <f>1/5</f>
        <v>0.2</v>
      </c>
      <c r="H69" s="210"/>
      <c r="I69" s="74">
        <f>1/5</f>
        <v>0.2</v>
      </c>
    </row>
    <row r="70" spans="1:19" x14ac:dyDescent="0.25">
      <c r="A70" s="209">
        <f>A69+1</f>
        <v>48</v>
      </c>
      <c r="B70" s="222">
        <v>303.2</v>
      </c>
      <c r="C70" s="210" t="s">
        <v>1089</v>
      </c>
      <c r="D70" s="210"/>
      <c r="E70" s="217"/>
      <c r="F70" s="210"/>
      <c r="G70" s="74">
        <f>1/7</f>
        <v>0.14285714285714285</v>
      </c>
      <c r="H70" s="210"/>
      <c r="I70" s="74">
        <f>1/7</f>
        <v>0.14285714285714285</v>
      </c>
    </row>
    <row r="71" spans="1:19" x14ac:dyDescent="0.25">
      <c r="A71" s="209">
        <f t="shared" ref="A71:A74" si="4">A70+1</f>
        <v>49</v>
      </c>
      <c r="B71" s="222">
        <v>303.3</v>
      </c>
      <c r="C71" s="210" t="s">
        <v>1090</v>
      </c>
      <c r="D71" s="210"/>
      <c r="E71" s="217"/>
      <c r="F71" s="210"/>
      <c r="G71" s="74">
        <f>1/9</f>
        <v>0.1111111111111111</v>
      </c>
      <c r="H71" s="210"/>
      <c r="I71" s="74">
        <f>1/9</f>
        <v>0.1111111111111111</v>
      </c>
    </row>
    <row r="72" spans="1:19" x14ac:dyDescent="0.25">
      <c r="A72" s="209">
        <f t="shared" si="4"/>
        <v>50</v>
      </c>
      <c r="B72" s="222">
        <v>303.39999999999998</v>
      </c>
      <c r="C72" s="210" t="s">
        <v>1091</v>
      </c>
      <c r="D72" s="210"/>
      <c r="E72" s="217"/>
      <c r="F72" s="210"/>
      <c r="G72" s="74">
        <f>1/11</f>
        <v>9.0909090909090912E-2</v>
      </c>
      <c r="H72" s="210"/>
      <c r="I72" s="74">
        <f>1/11</f>
        <v>9.0909090909090912E-2</v>
      </c>
    </row>
    <row r="73" spans="1:19" x14ac:dyDescent="0.25">
      <c r="A73" s="209">
        <f t="shared" si="4"/>
        <v>51</v>
      </c>
      <c r="B73" s="222">
        <v>303.5</v>
      </c>
      <c r="C73" s="210" t="s">
        <v>1092</v>
      </c>
      <c r="D73" s="210"/>
      <c r="E73" s="217"/>
      <c r="F73" s="210"/>
      <c r="G73" s="74">
        <f>1/13</f>
        <v>7.6923076923076927E-2</v>
      </c>
      <c r="H73" s="210"/>
      <c r="I73" s="74">
        <f>1/13</f>
        <v>7.6923076923076927E-2</v>
      </c>
    </row>
    <row r="74" spans="1:19" x14ac:dyDescent="0.25">
      <c r="A74" s="209">
        <f t="shared" si="4"/>
        <v>52</v>
      </c>
      <c r="B74" s="222">
        <v>303.60000000000002</v>
      </c>
      <c r="C74" s="210" t="s">
        <v>1093</v>
      </c>
      <c r="D74" s="210"/>
      <c r="E74" s="217"/>
      <c r="F74" s="210"/>
      <c r="G74" s="74">
        <f>1/15</f>
        <v>6.6666666666666666E-2</v>
      </c>
      <c r="H74" s="210"/>
      <c r="I74" s="74">
        <f>1/15</f>
        <v>6.6666666666666666E-2</v>
      </c>
    </row>
    <row r="75" spans="1:19" x14ac:dyDescent="0.25">
      <c r="B75" s="109"/>
      <c r="G75" s="74"/>
      <c r="I75" s="111"/>
    </row>
    <row r="76" spans="1:19" ht="5.25" customHeight="1" x14ac:dyDescent="0.25">
      <c r="A76" s="14"/>
      <c r="B76" s="5"/>
      <c r="C76" s="5"/>
      <c r="D76" s="5"/>
      <c r="E76" s="5"/>
      <c r="F76" s="5"/>
      <c r="G76" s="5"/>
      <c r="H76" s="5"/>
      <c r="I76" s="5"/>
    </row>
    <row r="77" spans="1:19" ht="5.25" customHeight="1" x14ac:dyDescent="0.25"/>
    <row r="78" spans="1:19" x14ac:dyDescent="0.25">
      <c r="A78" s="22" t="str">
        <f>note</f>
        <v>Notes and Sources:</v>
      </c>
    </row>
    <row r="79" spans="1:19" ht="47.45" customHeight="1" x14ac:dyDescent="0.25">
      <c r="A79" s="223">
        <v>1</v>
      </c>
      <c r="B79" s="273" t="s">
        <v>1094</v>
      </c>
      <c r="C79" s="273"/>
      <c r="D79" s="273"/>
      <c r="E79" s="273"/>
      <c r="F79" s="273"/>
      <c r="G79" s="273"/>
      <c r="H79" s="273"/>
      <c r="I79" s="273"/>
      <c r="L79" s="274"/>
      <c r="M79" s="274"/>
      <c r="N79" s="274"/>
      <c r="O79" s="274"/>
      <c r="P79" s="274"/>
      <c r="Q79" s="274"/>
      <c r="R79" s="274"/>
      <c r="S79" s="274"/>
    </row>
    <row r="80" spans="1:19" ht="18.75" customHeight="1" x14ac:dyDescent="0.25">
      <c r="A80" s="23">
        <v>2</v>
      </c>
      <c r="B80" s="273" t="s">
        <v>1122</v>
      </c>
      <c r="C80" s="273"/>
      <c r="D80" s="273"/>
      <c r="E80" s="273"/>
      <c r="F80" s="273"/>
      <c r="G80" s="273"/>
      <c r="H80" s="273"/>
      <c r="I80" s="273"/>
      <c r="L80" s="274"/>
      <c r="M80" s="274"/>
      <c r="N80" s="274"/>
      <c r="O80" s="274"/>
      <c r="P80" s="274"/>
      <c r="Q80" s="274"/>
      <c r="R80" s="274"/>
      <c r="S80" s="274"/>
    </row>
    <row r="81" spans="1:19" ht="14.25" customHeight="1" x14ac:dyDescent="0.25">
      <c r="A81" s="23"/>
      <c r="B81" s="273"/>
      <c r="C81" s="273"/>
      <c r="D81" s="273"/>
      <c r="E81" s="273"/>
      <c r="F81" s="273"/>
      <c r="G81" s="273"/>
      <c r="H81" s="273"/>
      <c r="I81" s="273"/>
      <c r="L81" s="274"/>
      <c r="M81" s="274"/>
      <c r="N81" s="274"/>
      <c r="O81" s="274"/>
      <c r="P81" s="274"/>
      <c r="Q81" s="274"/>
      <c r="R81" s="274"/>
      <c r="S81" s="274"/>
    </row>
    <row r="82" spans="1:19" ht="5.25" customHeight="1" thickBot="1" x14ac:dyDescent="0.3">
      <c r="A82" s="24"/>
      <c r="B82" s="4"/>
      <c r="C82" s="4"/>
      <c r="D82" s="4"/>
      <c r="E82" s="4"/>
      <c r="F82" s="4"/>
      <c r="G82" s="4"/>
      <c r="H82" s="4"/>
      <c r="I82" s="4"/>
    </row>
    <row r="83" spans="1:19" ht="5.25" customHeight="1" thickTop="1" x14ac:dyDescent="0.25"/>
  </sheetData>
  <mergeCells count="9">
    <mergeCell ref="B79:I79"/>
    <mergeCell ref="L79:S79"/>
    <mergeCell ref="B80:I81"/>
    <mergeCell ref="L80:S81"/>
    <mergeCell ref="A7:A9"/>
    <mergeCell ref="B7:B8"/>
    <mergeCell ref="C7:C8"/>
    <mergeCell ref="G7:G8"/>
    <mergeCell ref="I7:I8"/>
  </mergeCells>
  <pageMargins left="0.7" right="0.7" top="0.75" bottom="0.75" header="0.3" footer="0.3"/>
  <pageSetup scale="41" fitToHeight="0" orientation="portrait" horizontalDpi="1200" verticalDpi="1200" r:id="rId1"/>
  <headerFooter>
    <oddFooter>&amp;L&amp;6{W0327924.2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H30"/>
  <sheetViews>
    <sheetView zoomScale="80" zoomScaleNormal="80" workbookViewId="0">
      <selection activeCell="H14" sqref="H14:H25"/>
    </sheetView>
  </sheetViews>
  <sheetFormatPr defaultColWidth="8.25" defaultRowHeight="15.75" x14ac:dyDescent="0.25"/>
  <cols>
    <col min="1" max="1" width="5.625" style="181" customWidth="1"/>
    <col min="2" max="2" width="11.75" style="181" bestFit="1" customWidth="1"/>
    <col min="3" max="3" width="30" style="181" bestFit="1" customWidth="1"/>
    <col min="4" max="4" width="15" style="179" customWidth="1"/>
    <col min="5" max="5" width="13" style="179" customWidth="1"/>
    <col min="6" max="6" width="11.5" style="179" customWidth="1"/>
    <col min="7" max="16384" width="8.25" style="181"/>
  </cols>
  <sheetData>
    <row r="1" spans="1:8" s="127" customFormat="1" x14ac:dyDescent="0.25">
      <c r="A1" s="6" t="str">
        <f>epe</f>
        <v>El Paso Electric Company</v>
      </c>
      <c r="B1" s="6"/>
      <c r="F1" s="177" t="s">
        <v>973</v>
      </c>
    </row>
    <row r="2" spans="1:8" s="127" customFormat="1" x14ac:dyDescent="0.25">
      <c r="A2" s="127" t="str">
        <f>frtp</f>
        <v>Formula Rate Template (Projected)</v>
      </c>
    </row>
    <row r="3" spans="1:8" s="127" customFormat="1" x14ac:dyDescent="0.25">
      <c r="A3" s="127" t="s">
        <v>1004</v>
      </c>
    </row>
    <row r="4" spans="1:8" s="127" customFormat="1" x14ac:dyDescent="0.25">
      <c r="A4" s="127" t="str">
        <f>"12 Months Ended December 31, "&amp;YEAR('A1 (FF1 Inputs)'!$E$13)</f>
        <v>12 Months Ended December 31, 2022</v>
      </c>
    </row>
    <row r="5" spans="1:8" customFormat="1" ht="5.25" customHeight="1" thickBot="1" x14ac:dyDescent="0.3">
      <c r="A5" s="4"/>
      <c r="B5" s="4"/>
      <c r="C5" s="4"/>
      <c r="D5" s="4"/>
      <c r="E5" s="4"/>
      <c r="F5" s="4"/>
    </row>
    <row r="6" spans="1:8" customFormat="1" ht="5.25" customHeight="1" thickTop="1" x14ac:dyDescent="0.25"/>
    <row r="7" spans="1:8" s="3" customFormat="1" ht="15.75" customHeight="1" x14ac:dyDescent="0.25">
      <c r="A7" s="267" t="str">
        <f>ln</f>
        <v>Line No.</v>
      </c>
      <c r="B7" s="266" t="s">
        <v>715</v>
      </c>
      <c r="C7" s="266" t="s">
        <v>716</v>
      </c>
      <c r="D7" s="266" t="str">
        <f>"EOY "&amp;'Table of Contents'!E34&amp;" Balance"</f>
        <v>EOY 2020 Balance</v>
      </c>
      <c r="E7" s="266" t="s">
        <v>1147</v>
      </c>
      <c r="F7" s="266" t="s">
        <v>1057</v>
      </c>
    </row>
    <row r="8" spans="1:8" s="3" customFormat="1" ht="37.5" customHeight="1" x14ac:dyDescent="0.25">
      <c r="A8" s="267"/>
      <c r="B8" s="266"/>
      <c r="C8" s="266"/>
      <c r="D8" s="266"/>
      <c r="E8" s="266"/>
      <c r="F8" s="266"/>
    </row>
    <row r="9" spans="1:8" s="1" customFormat="1" x14ac:dyDescent="0.25">
      <c r="A9" s="267"/>
      <c r="B9" s="1" t="s">
        <v>7</v>
      </c>
      <c r="C9" s="1" t="s">
        <v>8</v>
      </c>
      <c r="D9" s="1" t="s">
        <v>9</v>
      </c>
      <c r="E9" s="1" t="s">
        <v>10</v>
      </c>
      <c r="F9" s="2" t="s">
        <v>1014</v>
      </c>
    </row>
    <row r="10" spans="1:8" customFormat="1" ht="5.25" customHeight="1" x14ac:dyDescent="0.25">
      <c r="A10" s="5"/>
      <c r="B10" s="5"/>
      <c r="C10" s="5"/>
      <c r="D10" s="5"/>
      <c r="E10" s="5"/>
      <c r="F10" s="5"/>
    </row>
    <row r="11" spans="1:8" customFormat="1" ht="34.5" customHeight="1" x14ac:dyDescent="0.25">
      <c r="E11" s="199" t="str">
        <f>'P13 (Depreciation Rates)'!I1&amp;", Col. "&amp;'P13 (Depreciation Rates)'!I9</f>
        <v>Worksheet P13, Col. [e]</v>
      </c>
    </row>
    <row r="12" spans="1:8" s="183" customFormat="1" x14ac:dyDescent="0.25">
      <c r="A12" s="1"/>
      <c r="B12" s="21" t="s">
        <v>286</v>
      </c>
      <c r="D12" s="182"/>
      <c r="E12" s="184"/>
      <c r="F12" s="185"/>
    </row>
    <row r="13" spans="1:8" x14ac:dyDescent="0.25">
      <c r="A13" s="126">
        <v>1</v>
      </c>
      <c r="B13" s="178">
        <v>350.1</v>
      </c>
      <c r="C13" s="181" t="s">
        <v>1006</v>
      </c>
      <c r="D13" s="37">
        <v>24347963.609999999</v>
      </c>
      <c r="E13" s="180">
        <f>+'P13 (Depreciation Rates)'!I28</f>
        <v>1.0200000000000001E-2</v>
      </c>
      <c r="F13" s="179">
        <f t="shared" ref="F13:F20" si="0">D13*E13</f>
        <v>248349.228822</v>
      </c>
    </row>
    <row r="14" spans="1:8" x14ac:dyDescent="0.25">
      <c r="A14" s="126">
        <f t="shared" ref="A14:A21" si="1">A13+1</f>
        <v>2</v>
      </c>
      <c r="B14" s="178">
        <v>350.1</v>
      </c>
      <c r="C14" s="186" t="s">
        <v>1007</v>
      </c>
      <c r="D14" s="37">
        <v>16824155.75</v>
      </c>
      <c r="E14" s="180">
        <f>+'P13 (Depreciation Rates)'!I29</f>
        <v>3.7900000000000003E-2</v>
      </c>
      <c r="F14" s="179">
        <f t="shared" si="0"/>
        <v>637635.50292500004</v>
      </c>
    </row>
    <row r="15" spans="1:8" x14ac:dyDescent="0.25">
      <c r="A15" s="126">
        <f t="shared" si="1"/>
        <v>3</v>
      </c>
      <c r="B15" s="178">
        <v>352</v>
      </c>
      <c r="C15" s="181" t="s">
        <v>1008</v>
      </c>
      <c r="D15" s="37">
        <v>12563240.059999999</v>
      </c>
      <c r="E15" s="180">
        <f>+'P13 (Depreciation Rates)'!I30</f>
        <v>1.1599999999999999E-2</v>
      </c>
      <c r="F15" s="179">
        <f t="shared" si="0"/>
        <v>145733.58469599998</v>
      </c>
    </row>
    <row r="16" spans="1:8" x14ac:dyDescent="0.25">
      <c r="A16" s="126">
        <f t="shared" si="1"/>
        <v>4</v>
      </c>
      <c r="B16" s="178">
        <v>353</v>
      </c>
      <c r="C16" s="181" t="s">
        <v>1009</v>
      </c>
      <c r="D16" s="37">
        <v>206563418.06</v>
      </c>
      <c r="E16" s="180">
        <f>+'P13 (Depreciation Rates)'!I31</f>
        <v>1.2441699620082285E-2</v>
      </c>
      <c r="F16" s="259">
        <f t="shared" si="0"/>
        <v>2570000</v>
      </c>
      <c r="G16" s="260"/>
      <c r="H16" s="209"/>
    </row>
    <row r="17" spans="1:8" x14ac:dyDescent="0.25">
      <c r="A17" s="126">
        <f t="shared" si="1"/>
        <v>5</v>
      </c>
      <c r="B17" s="178">
        <v>354</v>
      </c>
      <c r="C17" s="181" t="s">
        <v>1010</v>
      </c>
      <c r="D17" s="37">
        <v>31390830.999999996</v>
      </c>
      <c r="E17" s="180">
        <f>+'P13 (Depreciation Rates)'!I32</f>
        <v>1.1900000000000001E-2</v>
      </c>
      <c r="F17" s="259">
        <f t="shared" si="0"/>
        <v>373550.88889999996</v>
      </c>
      <c r="G17" s="260"/>
      <c r="H17" s="209"/>
    </row>
    <row r="18" spans="1:8" x14ac:dyDescent="0.25">
      <c r="A18" s="126">
        <f t="shared" si="1"/>
        <v>6</v>
      </c>
      <c r="B18" s="178">
        <v>355</v>
      </c>
      <c r="C18" s="181" t="s">
        <v>1011</v>
      </c>
      <c r="D18" s="37">
        <v>178263156.52000001</v>
      </c>
      <c r="E18" s="180">
        <f>+'P13 (Depreciation Rates)'!I33</f>
        <v>1.6829052388418909E-2</v>
      </c>
      <c r="F18" s="259">
        <f t="shared" si="0"/>
        <v>3000000</v>
      </c>
      <c r="G18" s="260"/>
      <c r="H18" s="209"/>
    </row>
    <row r="19" spans="1:8" x14ac:dyDescent="0.25">
      <c r="A19" s="126">
        <f t="shared" si="1"/>
        <v>7</v>
      </c>
      <c r="B19" s="178">
        <v>356</v>
      </c>
      <c r="C19" s="181" t="s">
        <v>1012</v>
      </c>
      <c r="D19" s="37">
        <v>98841773.730000004</v>
      </c>
      <c r="E19" s="180">
        <f>+'P13 (Depreciation Rates)'!I34</f>
        <v>1.3658192776747532E-2</v>
      </c>
      <c r="F19" s="259">
        <f t="shared" si="0"/>
        <v>1350000</v>
      </c>
      <c r="G19" s="260"/>
      <c r="H19" s="209"/>
    </row>
    <row r="20" spans="1:8" x14ac:dyDescent="0.25">
      <c r="A20" s="126">
        <f t="shared" si="1"/>
        <v>8</v>
      </c>
      <c r="B20" s="178">
        <v>359</v>
      </c>
      <c r="C20" s="181" t="s">
        <v>1013</v>
      </c>
      <c r="D20" s="37">
        <v>3700724.13</v>
      </c>
      <c r="E20" s="180">
        <f>+'P13 (Depreciation Rates)'!I35</f>
        <v>1.2800000000000001E-2</v>
      </c>
      <c r="F20" s="259">
        <f t="shared" si="0"/>
        <v>47369.268863999998</v>
      </c>
      <c r="G20" s="260"/>
      <c r="H20" s="260"/>
    </row>
    <row r="21" spans="1:8" s="183" customFormat="1" ht="15" customHeight="1" x14ac:dyDescent="0.25">
      <c r="A21" s="126">
        <f t="shared" si="1"/>
        <v>9</v>
      </c>
      <c r="C21" s="183" t="s">
        <v>1001</v>
      </c>
      <c r="D21" s="187">
        <f t="shared" ref="D21" si="2">SUM(D13:D20)</f>
        <v>572495262.86000001</v>
      </c>
      <c r="E21" s="261"/>
      <c r="F21" s="262">
        <f>SUM(F13:F20)</f>
        <v>8372638.4742070008</v>
      </c>
      <c r="G21" s="263"/>
      <c r="H21" s="263"/>
    </row>
    <row r="22" spans="1:8" s="183" customFormat="1" ht="7.35" customHeight="1" x14ac:dyDescent="0.25">
      <c r="D22" s="182"/>
      <c r="F22" s="185"/>
    </row>
    <row r="23" spans="1:8" x14ac:dyDescent="0.25">
      <c r="A23" s="126">
        <v>10</v>
      </c>
      <c r="B23" s="200" t="str">
        <f>"Monthly Composite Depreciation Rate (Ln. "&amp;A21&amp;", Col. [e] / Col. [c])"</f>
        <v>Monthly Composite Depreciation Rate (Ln. 9, Col. [e] / Col. [c])</v>
      </c>
      <c r="F23" s="189">
        <f>F21/D21/12</f>
        <v>1.2187347531314094E-3</v>
      </c>
    </row>
    <row r="24" spans="1:8" ht="5.25" customHeight="1" x14ac:dyDescent="0.25">
      <c r="A24" s="195"/>
      <c r="B24" s="195"/>
      <c r="C24" s="195"/>
      <c r="D24" s="196"/>
      <c r="E24" s="195"/>
      <c r="F24" s="195"/>
    </row>
    <row r="25" spans="1:8" ht="5.25" customHeight="1" thickBot="1" x14ac:dyDescent="0.3">
      <c r="A25" s="197"/>
      <c r="B25" s="197"/>
      <c r="C25" s="197"/>
      <c r="D25" s="198"/>
      <c r="E25" s="197"/>
      <c r="F25" s="197"/>
    </row>
    <row r="26" spans="1:8" ht="5.25" customHeight="1" thickTop="1" x14ac:dyDescent="0.25">
      <c r="E26" s="181"/>
      <c r="F26" s="181"/>
    </row>
    <row r="27" spans="1:8" x14ac:dyDescent="0.25">
      <c r="E27" s="181"/>
      <c r="F27" s="181"/>
    </row>
    <row r="28" spans="1:8" x14ac:dyDescent="0.25">
      <c r="E28" s="181"/>
      <c r="F28" s="181"/>
    </row>
    <row r="29" spans="1:8" x14ac:dyDescent="0.25">
      <c r="C29" s="179"/>
    </row>
    <row r="30" spans="1:8" x14ac:dyDescent="0.25">
      <c r="C30" s="188"/>
    </row>
  </sheetData>
  <mergeCells count="6">
    <mergeCell ref="A7:A9"/>
    <mergeCell ref="B7:B8"/>
    <mergeCell ref="C7:C8"/>
    <mergeCell ref="F7:F8"/>
    <mergeCell ref="E7:E8"/>
    <mergeCell ref="D7:D8"/>
  </mergeCells>
  <phoneticPr fontId="7" type="noConversion"/>
  <pageMargins left="0" right="0" top="0.25" bottom="0.25" header="0.3" footer="0.3"/>
  <pageSetup orientation="portrait" r:id="rId1"/>
  <headerFooter>
    <oddFooter>&amp;L&amp;6{W0327924.2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K121"/>
  <sheetViews>
    <sheetView workbookViewId="0"/>
  </sheetViews>
  <sheetFormatPr defaultRowHeight="15.75" x14ac:dyDescent="0.25"/>
  <cols>
    <col min="1" max="1" width="5" style="1" customWidth="1"/>
    <col min="2" max="2" width="21.625" customWidth="1"/>
    <col min="3" max="3" width="7.625" customWidth="1"/>
    <col min="4" max="4" width="25" customWidth="1"/>
    <col min="5" max="7" width="14.125" customWidth="1"/>
    <col min="8" max="8" width="10.5" customWidth="1"/>
    <col min="9" max="11" width="14.125" customWidth="1"/>
  </cols>
  <sheetData>
    <row r="1" spans="1:11" x14ac:dyDescent="0.25">
      <c r="A1" s="6" t="str">
        <f>epe</f>
        <v>El Paso Electric Company</v>
      </c>
      <c r="K1" s="8" t="s">
        <v>1058</v>
      </c>
    </row>
    <row r="2" spans="1:11" x14ac:dyDescent="0.25">
      <c r="A2" t="str">
        <f>frta</f>
        <v>Formula Rate Template (Actuals)</v>
      </c>
    </row>
    <row r="3" spans="1:11" x14ac:dyDescent="0.25">
      <c r="A3" t="s">
        <v>817</v>
      </c>
    </row>
    <row r="4" spans="1:11" x14ac:dyDescent="0.25">
      <c r="A4" t="str">
        <f>"12 Months Ended December 31, "&amp;YEAR('A1 (FF1 Inputs)'!$E$12)</f>
        <v>12 Months Ended December 31, 2020</v>
      </c>
    </row>
    <row r="5" spans="1:11" ht="5.25" customHeight="1" thickBot="1" x14ac:dyDescent="0.3">
      <c r="A5" s="4"/>
      <c r="B5" s="4"/>
      <c r="C5" s="4"/>
      <c r="D5" s="4"/>
      <c r="E5" s="4"/>
      <c r="F5" s="4"/>
      <c r="G5" s="4"/>
      <c r="H5" s="4"/>
      <c r="I5" s="4"/>
      <c r="J5" s="4"/>
      <c r="K5" s="4"/>
    </row>
    <row r="6" spans="1:11" ht="5.25" customHeight="1" thickTop="1" x14ac:dyDescent="0.25">
      <c r="A6"/>
    </row>
    <row r="7" spans="1:11" s="40" customFormat="1" ht="78.75" x14ac:dyDescent="0.25">
      <c r="A7" s="40" t="str">
        <f>ln</f>
        <v>Line No.</v>
      </c>
      <c r="B7" s="40" t="s">
        <v>363</v>
      </c>
      <c r="C7" s="40" t="s">
        <v>822</v>
      </c>
      <c r="D7" s="40" t="s">
        <v>829</v>
      </c>
      <c r="E7" s="40" t="s">
        <v>828</v>
      </c>
      <c r="F7" s="40" t="s">
        <v>830</v>
      </c>
      <c r="G7" s="40" t="s">
        <v>818</v>
      </c>
      <c r="H7" s="40" t="s">
        <v>831</v>
      </c>
      <c r="I7" s="40" t="s">
        <v>819</v>
      </c>
      <c r="J7" s="40" t="s">
        <v>833</v>
      </c>
      <c r="K7" s="40" t="s">
        <v>820</v>
      </c>
    </row>
    <row r="8" spans="1:11" s="2" customFormat="1" ht="31.5" x14ac:dyDescent="0.25">
      <c r="A8" s="3"/>
      <c r="B8" s="2" t="s">
        <v>7</v>
      </c>
      <c r="C8" s="2" t="s">
        <v>8</v>
      </c>
      <c r="D8" s="2" t="s">
        <v>9</v>
      </c>
      <c r="E8" s="3" t="s">
        <v>835</v>
      </c>
      <c r="F8" s="2" t="s">
        <v>11</v>
      </c>
      <c r="G8" s="2" t="s">
        <v>372</v>
      </c>
      <c r="H8" s="2" t="s">
        <v>91</v>
      </c>
      <c r="I8" s="2" t="s">
        <v>832</v>
      </c>
      <c r="J8" s="2" t="s">
        <v>93</v>
      </c>
      <c r="K8" s="3" t="s">
        <v>834</v>
      </c>
    </row>
    <row r="9" spans="1:11" ht="5.25" customHeight="1" x14ac:dyDescent="0.25">
      <c r="A9" s="5"/>
      <c r="B9" s="5"/>
      <c r="C9" s="5"/>
      <c r="D9" s="5"/>
      <c r="E9" s="5"/>
      <c r="F9" s="5"/>
      <c r="G9" s="5"/>
      <c r="H9" s="5"/>
      <c r="I9" s="5"/>
      <c r="J9" s="5"/>
      <c r="K9" s="5"/>
    </row>
    <row r="10" spans="1:11" ht="5.25" customHeight="1" x14ac:dyDescent="0.25">
      <c r="A10"/>
    </row>
    <row r="11" spans="1:11" ht="15.75" customHeight="1" x14ac:dyDescent="0.25">
      <c r="A11" s="89" t="s">
        <v>826</v>
      </c>
      <c r="B11" s="89"/>
      <c r="C11" s="89"/>
      <c r="D11" s="89"/>
      <c r="E11" s="89"/>
      <c r="F11" s="89"/>
      <c r="G11" s="89"/>
      <c r="H11" s="89"/>
      <c r="I11" s="89"/>
      <c r="J11" s="89"/>
      <c r="K11" s="89"/>
    </row>
    <row r="12" spans="1:11" x14ac:dyDescent="0.25">
      <c r="A12"/>
      <c r="B12" s="21" t="s">
        <v>821</v>
      </c>
      <c r="C12" s="21"/>
    </row>
    <row r="13" spans="1:11" x14ac:dyDescent="0.25">
      <c r="A13" s="1">
        <v>1</v>
      </c>
      <c r="B13" t="s">
        <v>79</v>
      </c>
      <c r="C13" s="1">
        <f>YEAR('A1 (FF1 Inputs)'!$E$12)</f>
        <v>2020</v>
      </c>
      <c r="D13" s="10">
        <f>$E$113</f>
        <v>0</v>
      </c>
      <c r="E13" s="10">
        <v>0</v>
      </c>
      <c r="F13" s="10">
        <v>0</v>
      </c>
      <c r="G13" s="10">
        <f>E13+F13</f>
        <v>0</v>
      </c>
      <c r="H13" s="43">
        <v>4.1999999999999997E-3</v>
      </c>
      <c r="I13" s="10">
        <f>G13*H13</f>
        <v>0</v>
      </c>
      <c r="J13" s="10"/>
      <c r="K13" s="10">
        <f>D13+I13</f>
        <v>0</v>
      </c>
    </row>
    <row r="14" spans="1:11" x14ac:dyDescent="0.25">
      <c r="A14" s="1">
        <f>A13+1</f>
        <v>2</v>
      </c>
      <c r="B14" t="s">
        <v>80</v>
      </c>
      <c r="C14" s="1">
        <f>YEAR('A1 (FF1 Inputs)'!$E$12)</f>
        <v>2020</v>
      </c>
      <c r="D14" s="10">
        <f t="shared" ref="D14:D24" si="0">$E$113</f>
        <v>0</v>
      </c>
      <c r="E14" s="10">
        <f>D13+E13</f>
        <v>0</v>
      </c>
      <c r="F14" s="10">
        <v>0</v>
      </c>
      <c r="G14" s="10">
        <f t="shared" ref="G14:G24" si="1">E14+F14</f>
        <v>0</v>
      </c>
      <c r="H14" s="43">
        <v>3.8999999999999998E-3</v>
      </c>
      <c r="I14" s="10">
        <f>G14*H14</f>
        <v>0</v>
      </c>
      <c r="J14" s="10"/>
      <c r="K14" s="10">
        <f>SUM($D$13:D14)+SUM($I$13:I14)</f>
        <v>0</v>
      </c>
    </row>
    <row r="15" spans="1:11" x14ac:dyDescent="0.25">
      <c r="A15" s="1">
        <f t="shared" ref="A15:A24" si="2">A14+1</f>
        <v>3</v>
      </c>
      <c r="B15" t="s">
        <v>81</v>
      </c>
      <c r="C15" s="1">
        <f>YEAR('A1 (FF1 Inputs)'!$E$12)</f>
        <v>2020</v>
      </c>
      <c r="D15" s="10">
        <f t="shared" si="0"/>
        <v>0</v>
      </c>
      <c r="E15" s="10">
        <f>D14+E14</f>
        <v>0</v>
      </c>
      <c r="F15" s="10">
        <v>0</v>
      </c>
      <c r="G15" s="10">
        <f>E15+F15</f>
        <v>0</v>
      </c>
      <c r="H15" s="43">
        <v>4.1999999999999997E-3</v>
      </c>
      <c r="I15" s="10">
        <f t="shared" ref="I15:I24" si="3">G15*H15</f>
        <v>0</v>
      </c>
      <c r="J15" s="10"/>
      <c r="K15" s="10">
        <f>SUM($D$13:D15)+SUM($I$13:I15)</f>
        <v>0</v>
      </c>
    </row>
    <row r="16" spans="1:11" x14ac:dyDescent="0.25">
      <c r="A16" s="1">
        <f t="shared" si="2"/>
        <v>4</v>
      </c>
      <c r="B16" t="s">
        <v>82</v>
      </c>
      <c r="C16" s="1">
        <f>YEAR('A1 (FF1 Inputs)'!$E$12)</f>
        <v>2020</v>
      </c>
      <c r="D16" s="10">
        <f t="shared" si="0"/>
        <v>0</v>
      </c>
      <c r="E16" s="10">
        <f>D15+E15</f>
        <v>0</v>
      </c>
      <c r="F16" s="10">
        <f>F15+SUM(I13:I15)</f>
        <v>0</v>
      </c>
      <c r="G16" s="10">
        <f>E16+F16</f>
        <v>0</v>
      </c>
      <c r="H16" s="43">
        <v>3.8999999999999998E-3</v>
      </c>
      <c r="I16" s="10">
        <f>G16*H16</f>
        <v>0</v>
      </c>
      <c r="J16" s="10"/>
      <c r="K16" s="10">
        <f>SUM($D$13:D16)+SUM($I$13:I16)</f>
        <v>0</v>
      </c>
    </row>
    <row r="17" spans="1:11" x14ac:dyDescent="0.25">
      <c r="A17" s="1">
        <f t="shared" si="2"/>
        <v>5</v>
      </c>
      <c r="B17" t="s">
        <v>83</v>
      </c>
      <c r="C17" s="1">
        <f>YEAR('A1 (FF1 Inputs)'!$E$12)</f>
        <v>2020</v>
      </c>
      <c r="D17" s="10">
        <f t="shared" si="0"/>
        <v>0</v>
      </c>
      <c r="E17" s="10">
        <f t="shared" ref="E17:E24" si="4">D16+E16</f>
        <v>0</v>
      </c>
      <c r="F17" s="10">
        <f>F16</f>
        <v>0</v>
      </c>
      <c r="G17" s="10">
        <f t="shared" si="1"/>
        <v>0</v>
      </c>
      <c r="H17" s="43">
        <v>4.0000000000000001E-3</v>
      </c>
      <c r="I17" s="10">
        <f t="shared" si="3"/>
        <v>0</v>
      </c>
      <c r="J17" s="10"/>
      <c r="K17" s="10">
        <f>SUM($D$13:D17)+SUM($I$13:I17)</f>
        <v>0</v>
      </c>
    </row>
    <row r="18" spans="1:11" x14ac:dyDescent="0.25">
      <c r="A18" s="1">
        <f t="shared" si="2"/>
        <v>6</v>
      </c>
      <c r="B18" t="s">
        <v>84</v>
      </c>
      <c r="C18" s="1">
        <f>YEAR('A1 (FF1 Inputs)'!$E$12)</f>
        <v>2020</v>
      </c>
      <c r="D18" s="10">
        <f t="shared" si="0"/>
        <v>0</v>
      </c>
      <c r="E18" s="10">
        <f t="shared" si="4"/>
        <v>0</v>
      </c>
      <c r="F18" s="10">
        <f>F17</f>
        <v>0</v>
      </c>
      <c r="G18" s="10">
        <f t="shared" si="1"/>
        <v>0</v>
      </c>
      <c r="H18" s="43">
        <v>3.8999999999999998E-3</v>
      </c>
      <c r="I18" s="10">
        <f t="shared" si="3"/>
        <v>0</v>
      </c>
      <c r="J18" s="10"/>
      <c r="K18" s="10">
        <f>SUM($D$13:D18)+SUM($I$13:I18)</f>
        <v>0</v>
      </c>
    </row>
    <row r="19" spans="1:11" x14ac:dyDescent="0.25">
      <c r="A19" s="1">
        <f t="shared" si="2"/>
        <v>7</v>
      </c>
      <c r="B19" t="s">
        <v>85</v>
      </c>
      <c r="C19" s="1">
        <f>YEAR('A1 (FF1 Inputs)'!$E$12)</f>
        <v>2020</v>
      </c>
      <c r="D19" s="10">
        <f t="shared" si="0"/>
        <v>0</v>
      </c>
      <c r="E19" s="10">
        <f t="shared" si="4"/>
        <v>0</v>
      </c>
      <c r="F19" s="10">
        <f>F18+SUM(I16:I18)</f>
        <v>0</v>
      </c>
      <c r="G19" s="10">
        <f t="shared" si="1"/>
        <v>0</v>
      </c>
      <c r="H19" s="43">
        <v>2.8999999999999998E-3</v>
      </c>
      <c r="I19" s="10">
        <f t="shared" si="3"/>
        <v>0</v>
      </c>
      <c r="J19" s="10"/>
      <c r="K19" s="10">
        <f>SUM($D$13:D19)+SUM($I$13:I19)</f>
        <v>0</v>
      </c>
    </row>
    <row r="20" spans="1:11" x14ac:dyDescent="0.25">
      <c r="A20" s="1">
        <f t="shared" si="2"/>
        <v>8</v>
      </c>
      <c r="B20" t="s">
        <v>86</v>
      </c>
      <c r="C20" s="1">
        <f>YEAR('A1 (FF1 Inputs)'!$E$12)</f>
        <v>2020</v>
      </c>
      <c r="D20" s="10">
        <f t="shared" si="0"/>
        <v>0</v>
      </c>
      <c r="E20" s="10">
        <f t="shared" si="4"/>
        <v>0</v>
      </c>
      <c r="F20" s="10">
        <f>F19</f>
        <v>0</v>
      </c>
      <c r="G20" s="10">
        <f t="shared" si="1"/>
        <v>0</v>
      </c>
      <c r="H20" s="43">
        <v>2.8999999999999998E-3</v>
      </c>
      <c r="I20" s="10">
        <f t="shared" si="3"/>
        <v>0</v>
      </c>
      <c r="J20" s="10"/>
      <c r="K20" s="10">
        <f>SUM($D$13:D20)+SUM($I$13:I20)</f>
        <v>0</v>
      </c>
    </row>
    <row r="21" spans="1:11" x14ac:dyDescent="0.25">
      <c r="A21" s="1">
        <f t="shared" si="2"/>
        <v>9</v>
      </c>
      <c r="B21" t="s">
        <v>87</v>
      </c>
      <c r="C21" s="1">
        <f>YEAR('A1 (FF1 Inputs)'!$E$12)</f>
        <v>2020</v>
      </c>
      <c r="D21" s="10">
        <f t="shared" si="0"/>
        <v>0</v>
      </c>
      <c r="E21" s="10">
        <f t="shared" si="4"/>
        <v>0</v>
      </c>
      <c r="F21" s="10">
        <f>F20</f>
        <v>0</v>
      </c>
      <c r="G21" s="10">
        <f t="shared" si="1"/>
        <v>0</v>
      </c>
      <c r="H21" s="43">
        <v>2.8E-3</v>
      </c>
      <c r="I21" s="10">
        <f t="shared" si="3"/>
        <v>0</v>
      </c>
      <c r="J21" s="10"/>
      <c r="K21" s="10">
        <f>SUM($D$13:D21)+SUM($I$13:I21)</f>
        <v>0</v>
      </c>
    </row>
    <row r="22" spans="1:11" x14ac:dyDescent="0.25">
      <c r="A22" s="1">
        <f t="shared" si="2"/>
        <v>10</v>
      </c>
      <c r="B22" t="s">
        <v>88</v>
      </c>
      <c r="C22" s="1">
        <f>YEAR('A1 (FF1 Inputs)'!$E$12)</f>
        <v>2020</v>
      </c>
      <c r="D22" s="10">
        <f t="shared" si="0"/>
        <v>0</v>
      </c>
      <c r="E22" s="10">
        <f t="shared" si="4"/>
        <v>0</v>
      </c>
      <c r="F22" s="10">
        <f>F21+SUM(I19:I21)</f>
        <v>0</v>
      </c>
      <c r="G22" s="10">
        <f t="shared" si="1"/>
        <v>0</v>
      </c>
      <c r="H22" s="43">
        <v>2.8E-3</v>
      </c>
      <c r="I22" s="10">
        <f t="shared" si="3"/>
        <v>0</v>
      </c>
      <c r="J22" s="10"/>
      <c r="K22" s="10">
        <f>SUM($D$13:D22)+SUM($I$13:I22)</f>
        <v>0</v>
      </c>
    </row>
    <row r="23" spans="1:11" x14ac:dyDescent="0.25">
      <c r="A23" s="1">
        <f t="shared" si="2"/>
        <v>11</v>
      </c>
      <c r="B23" t="s">
        <v>89</v>
      </c>
      <c r="C23" s="1">
        <f>YEAR('A1 (FF1 Inputs)'!$E$12)</f>
        <v>2020</v>
      </c>
      <c r="D23" s="10">
        <f t="shared" si="0"/>
        <v>0</v>
      </c>
      <c r="E23" s="10">
        <f t="shared" si="4"/>
        <v>0</v>
      </c>
      <c r="F23" s="10">
        <f>F22</f>
        <v>0</v>
      </c>
      <c r="G23" s="10">
        <f t="shared" si="1"/>
        <v>0</v>
      </c>
      <c r="H23" s="43">
        <v>2.7000000000000001E-3</v>
      </c>
      <c r="I23" s="10">
        <f t="shared" si="3"/>
        <v>0</v>
      </c>
      <c r="J23" s="10"/>
      <c r="K23" s="10">
        <f>SUM($D$13:D23)+SUM($I$13:I23)</f>
        <v>0</v>
      </c>
    </row>
    <row r="24" spans="1:11" x14ac:dyDescent="0.25">
      <c r="A24" s="1">
        <f t="shared" si="2"/>
        <v>12</v>
      </c>
      <c r="B24" t="s">
        <v>90</v>
      </c>
      <c r="C24" s="1">
        <f>YEAR('A1 (FF1 Inputs)'!$E$12)</f>
        <v>2020</v>
      </c>
      <c r="D24" s="10">
        <f t="shared" si="0"/>
        <v>0</v>
      </c>
      <c r="E24" s="10">
        <f t="shared" si="4"/>
        <v>0</v>
      </c>
      <c r="F24" s="10">
        <f>F23</f>
        <v>0</v>
      </c>
      <c r="G24" s="10">
        <f t="shared" si="1"/>
        <v>0</v>
      </c>
      <c r="H24" s="43">
        <v>2.8E-3</v>
      </c>
      <c r="I24" s="10">
        <f t="shared" si="3"/>
        <v>0</v>
      </c>
      <c r="J24" s="10"/>
      <c r="K24" s="10">
        <f>SUM($D$13:D24)+SUM($I$13:I24)</f>
        <v>0</v>
      </c>
    </row>
    <row r="26" spans="1:11" x14ac:dyDescent="0.25">
      <c r="B26" s="21" t="s">
        <v>823</v>
      </c>
    </row>
    <row r="27" spans="1:11" x14ac:dyDescent="0.25">
      <c r="A27" s="1">
        <f>A24+1</f>
        <v>13</v>
      </c>
      <c r="B27" t="s">
        <v>79</v>
      </c>
      <c r="C27" s="1">
        <f>C13+1</f>
        <v>2021</v>
      </c>
      <c r="D27" s="10"/>
      <c r="E27" s="10">
        <f>D24+E24</f>
        <v>0</v>
      </c>
      <c r="F27" s="10">
        <f>F24+SUM(I22:I24)</f>
        <v>0</v>
      </c>
      <c r="G27" s="10">
        <f t="shared" ref="G27:G38" si="5">E27+F27</f>
        <v>0</v>
      </c>
      <c r="H27" s="43">
        <v>2.8E-3</v>
      </c>
      <c r="I27" s="10">
        <f>G27*H27</f>
        <v>0</v>
      </c>
      <c r="J27" s="10"/>
      <c r="K27" s="10">
        <f>SUM($D$13:D27)+SUM($I$13:I27)</f>
        <v>0</v>
      </c>
    </row>
    <row r="28" spans="1:11" x14ac:dyDescent="0.25">
      <c r="A28" s="1">
        <f>A27+1</f>
        <v>14</v>
      </c>
      <c r="B28" t="s">
        <v>80</v>
      </c>
      <c r="C28" s="1">
        <f>C27</f>
        <v>2021</v>
      </c>
      <c r="D28" s="10"/>
      <c r="E28" s="10">
        <f>D27+E27</f>
        <v>0</v>
      </c>
      <c r="F28" s="10">
        <f>F27</f>
        <v>0</v>
      </c>
      <c r="G28" s="10">
        <f t="shared" si="5"/>
        <v>0</v>
      </c>
      <c r="H28" s="43">
        <v>2.5000000000000001E-3</v>
      </c>
      <c r="I28" s="10">
        <f t="shared" ref="I28:I38" si="6">G28*H28</f>
        <v>0</v>
      </c>
      <c r="J28" s="10"/>
      <c r="K28" s="10">
        <f>SUM($D$13:D28)+SUM($I$13:I28)</f>
        <v>0</v>
      </c>
    </row>
    <row r="29" spans="1:11" x14ac:dyDescent="0.25">
      <c r="A29" s="1">
        <f t="shared" ref="A29:A38" si="7">A28+1</f>
        <v>15</v>
      </c>
      <c r="B29" t="s">
        <v>81</v>
      </c>
      <c r="C29" s="1">
        <f t="shared" ref="C29:C38" si="8">C28</f>
        <v>2021</v>
      </c>
      <c r="D29" s="10"/>
      <c r="E29" s="10">
        <f t="shared" ref="E29:E38" si="9">D28+E28</f>
        <v>0</v>
      </c>
      <c r="F29" s="10">
        <f>F28</f>
        <v>0</v>
      </c>
      <c r="G29" s="10">
        <f t="shared" si="5"/>
        <v>0</v>
      </c>
      <c r="H29" s="43">
        <v>2.8E-3</v>
      </c>
      <c r="I29" s="10">
        <f t="shared" si="6"/>
        <v>0</v>
      </c>
      <c r="J29" s="10"/>
      <c r="K29" s="10">
        <f>SUM($D$13:D29)+SUM($I$13:I29)</f>
        <v>0</v>
      </c>
    </row>
    <row r="30" spans="1:11" x14ac:dyDescent="0.25">
      <c r="A30" s="1">
        <f t="shared" si="7"/>
        <v>16</v>
      </c>
      <c r="B30" t="s">
        <v>82</v>
      </c>
      <c r="C30" s="1">
        <f t="shared" si="8"/>
        <v>2021</v>
      </c>
      <c r="D30" s="10"/>
      <c r="E30" s="10">
        <f t="shared" si="9"/>
        <v>0</v>
      </c>
      <c r="F30" s="10">
        <f>F29+SUM(I27:I29)</f>
        <v>0</v>
      </c>
      <c r="G30" s="10">
        <f>E30+F30</f>
        <v>0</v>
      </c>
      <c r="H30" s="43">
        <v>2.7000000000000001E-3</v>
      </c>
      <c r="I30" s="10">
        <f t="shared" si="6"/>
        <v>0</v>
      </c>
      <c r="J30" s="10"/>
      <c r="K30" s="10">
        <f>SUM($D$13:D30)+SUM($I$13:I30)</f>
        <v>0</v>
      </c>
    </row>
    <row r="31" spans="1:11" x14ac:dyDescent="0.25">
      <c r="A31" s="1">
        <f t="shared" si="7"/>
        <v>17</v>
      </c>
      <c r="B31" t="s">
        <v>83</v>
      </c>
      <c r="C31" s="1">
        <f t="shared" si="8"/>
        <v>2021</v>
      </c>
      <c r="D31" s="10"/>
      <c r="E31" s="10">
        <f t="shared" si="9"/>
        <v>0</v>
      </c>
      <c r="F31" s="10">
        <f>F30</f>
        <v>0</v>
      </c>
      <c r="G31" s="10">
        <f t="shared" si="5"/>
        <v>0</v>
      </c>
      <c r="H31" s="43">
        <v>2.8E-3</v>
      </c>
      <c r="I31" s="10">
        <f t="shared" si="6"/>
        <v>0</v>
      </c>
      <c r="J31" s="10"/>
      <c r="K31" s="10">
        <f>SUM($D$13:D31)+SUM($I$13:I31)</f>
        <v>0</v>
      </c>
    </row>
    <row r="32" spans="1:11" x14ac:dyDescent="0.25">
      <c r="A32" s="1">
        <f t="shared" si="7"/>
        <v>18</v>
      </c>
      <c r="B32" t="s">
        <v>84</v>
      </c>
      <c r="C32" s="1">
        <f t="shared" si="8"/>
        <v>2021</v>
      </c>
      <c r="D32" s="10"/>
      <c r="E32" s="10">
        <f t="shared" si="9"/>
        <v>0</v>
      </c>
      <c r="F32" s="10">
        <f>F31</f>
        <v>0</v>
      </c>
      <c r="G32" s="10">
        <f t="shared" si="5"/>
        <v>0</v>
      </c>
      <c r="H32" s="43">
        <v>2.7000000000000001E-3</v>
      </c>
      <c r="I32" s="10">
        <f t="shared" si="6"/>
        <v>0</v>
      </c>
      <c r="J32" s="10"/>
      <c r="K32" s="10">
        <f>SUM($D$13:D32)+SUM($I$13:I32)</f>
        <v>0</v>
      </c>
    </row>
    <row r="33" spans="1:11" x14ac:dyDescent="0.25">
      <c r="A33" s="1">
        <f t="shared" si="7"/>
        <v>19</v>
      </c>
      <c r="B33" t="s">
        <v>85</v>
      </c>
      <c r="C33" s="1">
        <f t="shared" si="8"/>
        <v>2021</v>
      </c>
      <c r="D33" s="10"/>
      <c r="E33" s="10">
        <f t="shared" si="9"/>
        <v>0</v>
      </c>
      <c r="F33" s="10">
        <f>F32+SUM(I30:I32)</f>
        <v>0</v>
      </c>
      <c r="G33" s="10">
        <f t="shared" si="5"/>
        <v>0</v>
      </c>
      <c r="H33" s="74">
        <f>AVERAGE($H$27:$H$32,$H$19:$H$24)</f>
        <v>2.7666666666666668E-3</v>
      </c>
      <c r="I33" s="10">
        <f t="shared" si="6"/>
        <v>0</v>
      </c>
      <c r="J33" s="10"/>
      <c r="K33" s="10">
        <f>SUM($D$13:D33)+SUM($I$13:I33)</f>
        <v>0</v>
      </c>
    </row>
    <row r="34" spans="1:11" x14ac:dyDescent="0.25">
      <c r="A34" s="1">
        <f t="shared" si="7"/>
        <v>20</v>
      </c>
      <c r="B34" t="s">
        <v>86</v>
      </c>
      <c r="C34" s="1">
        <f t="shared" si="8"/>
        <v>2021</v>
      </c>
      <c r="D34" s="10"/>
      <c r="E34" s="10">
        <f t="shared" si="9"/>
        <v>0</v>
      </c>
      <c r="F34" s="10">
        <f>F33</f>
        <v>0</v>
      </c>
      <c r="G34" s="10">
        <f t="shared" si="5"/>
        <v>0</v>
      </c>
      <c r="H34" s="74">
        <f t="shared" ref="H34:H38" si="10">AVERAGE($H$27:$H$32,$H$19:$H$24)</f>
        <v>2.7666666666666668E-3</v>
      </c>
      <c r="I34" s="10">
        <f t="shared" si="6"/>
        <v>0</v>
      </c>
      <c r="J34" s="10"/>
      <c r="K34" s="10">
        <f>SUM($D$13:D34)+SUM($I$13:I34)</f>
        <v>0</v>
      </c>
    </row>
    <row r="35" spans="1:11" x14ac:dyDescent="0.25">
      <c r="A35" s="1">
        <f t="shared" si="7"/>
        <v>21</v>
      </c>
      <c r="B35" t="s">
        <v>87</v>
      </c>
      <c r="C35" s="1">
        <f t="shared" si="8"/>
        <v>2021</v>
      </c>
      <c r="D35" s="10"/>
      <c r="E35" s="10">
        <f t="shared" si="9"/>
        <v>0</v>
      </c>
      <c r="F35" s="10">
        <f>F34</f>
        <v>0</v>
      </c>
      <c r="G35" s="10">
        <f t="shared" si="5"/>
        <v>0</v>
      </c>
      <c r="H35" s="74">
        <f t="shared" si="10"/>
        <v>2.7666666666666668E-3</v>
      </c>
      <c r="I35" s="10">
        <f t="shared" si="6"/>
        <v>0</v>
      </c>
      <c r="J35" s="10"/>
      <c r="K35" s="10">
        <f>SUM($D$13:D35)+SUM($I$13:I35)</f>
        <v>0</v>
      </c>
    </row>
    <row r="36" spans="1:11" x14ac:dyDescent="0.25">
      <c r="A36" s="1">
        <f t="shared" si="7"/>
        <v>22</v>
      </c>
      <c r="B36" t="s">
        <v>88</v>
      </c>
      <c r="C36" s="1">
        <f t="shared" si="8"/>
        <v>2021</v>
      </c>
      <c r="D36" s="10"/>
      <c r="E36" s="10">
        <f t="shared" si="9"/>
        <v>0</v>
      </c>
      <c r="F36" s="10">
        <f>F35+SUM(I33:I35)</f>
        <v>0</v>
      </c>
      <c r="G36" s="10">
        <f t="shared" si="5"/>
        <v>0</v>
      </c>
      <c r="H36" s="74">
        <f t="shared" si="10"/>
        <v>2.7666666666666668E-3</v>
      </c>
      <c r="I36" s="10">
        <f t="shared" si="6"/>
        <v>0</v>
      </c>
      <c r="J36" s="10"/>
      <c r="K36" s="10">
        <f>SUM($D$13:D36)+SUM($I$13:I36)</f>
        <v>0</v>
      </c>
    </row>
    <row r="37" spans="1:11" x14ac:dyDescent="0.25">
      <c r="A37" s="1">
        <f t="shared" si="7"/>
        <v>23</v>
      </c>
      <c r="B37" t="s">
        <v>89</v>
      </c>
      <c r="C37" s="1">
        <f t="shared" si="8"/>
        <v>2021</v>
      </c>
      <c r="D37" s="10"/>
      <c r="E37" s="10">
        <f t="shared" si="9"/>
        <v>0</v>
      </c>
      <c r="F37" s="10">
        <f>F36</f>
        <v>0</v>
      </c>
      <c r="G37" s="10">
        <f t="shared" si="5"/>
        <v>0</v>
      </c>
      <c r="H37" s="74">
        <f t="shared" si="10"/>
        <v>2.7666666666666668E-3</v>
      </c>
      <c r="I37" s="10">
        <f t="shared" si="6"/>
        <v>0</v>
      </c>
      <c r="J37" s="10"/>
      <c r="K37" s="10">
        <f>SUM($D$13:D37)+SUM($I$13:I37)</f>
        <v>0</v>
      </c>
    </row>
    <row r="38" spans="1:11" x14ac:dyDescent="0.25">
      <c r="A38" s="1">
        <f t="shared" si="7"/>
        <v>24</v>
      </c>
      <c r="B38" t="s">
        <v>90</v>
      </c>
      <c r="C38" s="1">
        <f t="shared" si="8"/>
        <v>2021</v>
      </c>
      <c r="D38" s="10"/>
      <c r="E38" s="10">
        <f t="shared" si="9"/>
        <v>0</v>
      </c>
      <c r="F38" s="10">
        <f>F37</f>
        <v>0</v>
      </c>
      <c r="G38" s="10">
        <f t="shared" si="5"/>
        <v>0</v>
      </c>
      <c r="H38" s="74">
        <f t="shared" si="10"/>
        <v>2.7666666666666668E-3</v>
      </c>
      <c r="I38" s="10">
        <f t="shared" si="6"/>
        <v>0</v>
      </c>
      <c r="J38" s="10"/>
      <c r="K38" s="10">
        <f>SUM($D$13:D38)+SUM($I$13:I38)</f>
        <v>0</v>
      </c>
    </row>
    <row r="40" spans="1:11" x14ac:dyDescent="0.25">
      <c r="B40" s="21" t="s">
        <v>824</v>
      </c>
    </row>
    <row r="41" spans="1:11" x14ac:dyDescent="0.25">
      <c r="A41" s="1">
        <f>A38+1</f>
        <v>25</v>
      </c>
      <c r="B41" t="s">
        <v>79</v>
      </c>
      <c r="C41" s="1">
        <f>C27+1</f>
        <v>2022</v>
      </c>
      <c r="D41" s="10"/>
      <c r="E41" s="10">
        <f>D38+E38</f>
        <v>0</v>
      </c>
      <c r="F41" s="10">
        <f>F38+SUM(I36:I38)</f>
        <v>0</v>
      </c>
      <c r="G41" s="10">
        <f t="shared" ref="G41" si="11">E41+F41</f>
        <v>0</v>
      </c>
      <c r="H41" s="74">
        <f t="shared" ref="H41:H52" si="12">AVERAGE($H$27:$H$32,$H$19:$H$24)</f>
        <v>2.7666666666666668E-3</v>
      </c>
      <c r="I41" s="10">
        <f>G41*H41</f>
        <v>0</v>
      </c>
      <c r="J41" s="10">
        <f t="shared" ref="J41:J52" si="13">PMT(H41,12,$K$38)</f>
        <v>0</v>
      </c>
      <c r="K41" s="10">
        <f>SUM($D$13:D41)+SUM($I$13:I41)+SUM($J$41:J41)</f>
        <v>0</v>
      </c>
    </row>
    <row r="42" spans="1:11" x14ac:dyDescent="0.25">
      <c r="A42" s="1">
        <f>A41+1</f>
        <v>26</v>
      </c>
      <c r="B42" t="s">
        <v>80</v>
      </c>
      <c r="C42" s="1">
        <f>C41</f>
        <v>2022</v>
      </c>
      <c r="D42" s="10"/>
      <c r="E42" s="10">
        <f>D41+E41</f>
        <v>0</v>
      </c>
      <c r="F42" s="10">
        <f>F41</f>
        <v>0</v>
      </c>
      <c r="G42" s="10">
        <f>K41</f>
        <v>0</v>
      </c>
      <c r="H42" s="74">
        <f t="shared" si="12"/>
        <v>2.7666666666666668E-3</v>
      </c>
      <c r="I42" s="10">
        <f t="shared" ref="I42:I51" si="14">G42*H42</f>
        <v>0</v>
      </c>
      <c r="J42" s="10">
        <f t="shared" si="13"/>
        <v>0</v>
      </c>
      <c r="K42" s="10">
        <f>SUM($D$13:D42)+SUM($I$13:I42)+SUM($J$41:J42)</f>
        <v>0</v>
      </c>
    </row>
    <row r="43" spans="1:11" x14ac:dyDescent="0.25">
      <c r="A43" s="1">
        <f t="shared" ref="A43:A52" si="15">A42+1</f>
        <v>27</v>
      </c>
      <c r="B43" t="s">
        <v>81</v>
      </c>
      <c r="C43" s="1">
        <f t="shared" ref="C43:C52" si="16">C42</f>
        <v>2022</v>
      </c>
      <c r="D43" s="10"/>
      <c r="E43" s="10">
        <f t="shared" ref="E43:E52" si="17">D42+E42</f>
        <v>0</v>
      </c>
      <c r="F43" s="10">
        <f>F42</f>
        <v>0</v>
      </c>
      <c r="G43" s="10">
        <f t="shared" ref="G43:G52" si="18">K42</f>
        <v>0</v>
      </c>
      <c r="H43" s="74">
        <f t="shared" si="12"/>
        <v>2.7666666666666668E-3</v>
      </c>
      <c r="I43" s="10">
        <f t="shared" si="14"/>
        <v>0</v>
      </c>
      <c r="J43" s="10">
        <f t="shared" si="13"/>
        <v>0</v>
      </c>
      <c r="K43" s="10">
        <f>SUM($D$13:D43)+SUM($I$13:I43)+SUM($J$41:J43)</f>
        <v>0</v>
      </c>
    </row>
    <row r="44" spans="1:11" x14ac:dyDescent="0.25">
      <c r="A44" s="1">
        <f t="shared" si="15"/>
        <v>28</v>
      </c>
      <c r="B44" t="s">
        <v>82</v>
      </c>
      <c r="C44" s="1">
        <f t="shared" si="16"/>
        <v>2022</v>
      </c>
      <c r="D44" s="10"/>
      <c r="E44" s="10">
        <f t="shared" si="17"/>
        <v>0</v>
      </c>
      <c r="F44" s="10">
        <f>F43+SUM(I41:I43)</f>
        <v>0</v>
      </c>
      <c r="G44" s="10">
        <f t="shared" si="18"/>
        <v>0</v>
      </c>
      <c r="H44" s="74">
        <f t="shared" si="12"/>
        <v>2.7666666666666668E-3</v>
      </c>
      <c r="I44" s="10">
        <f>G44*H44</f>
        <v>0</v>
      </c>
      <c r="J44" s="10">
        <f t="shared" si="13"/>
        <v>0</v>
      </c>
      <c r="K44" s="10">
        <f>SUM($D$13:D44)+SUM($I$13:I44)+SUM($J$41:J44)</f>
        <v>0</v>
      </c>
    </row>
    <row r="45" spans="1:11" x14ac:dyDescent="0.25">
      <c r="A45" s="1">
        <f t="shared" si="15"/>
        <v>29</v>
      </c>
      <c r="B45" t="s">
        <v>83</v>
      </c>
      <c r="C45" s="1">
        <f t="shared" si="16"/>
        <v>2022</v>
      </c>
      <c r="D45" s="10"/>
      <c r="E45" s="10">
        <f t="shared" si="17"/>
        <v>0</v>
      </c>
      <c r="F45" s="10">
        <f>F44</f>
        <v>0</v>
      </c>
      <c r="G45" s="10">
        <f t="shared" si="18"/>
        <v>0</v>
      </c>
      <c r="H45" s="74">
        <f t="shared" si="12"/>
        <v>2.7666666666666668E-3</v>
      </c>
      <c r="I45" s="10">
        <f t="shared" si="14"/>
        <v>0</v>
      </c>
      <c r="J45" s="10">
        <f t="shared" si="13"/>
        <v>0</v>
      </c>
      <c r="K45" s="10">
        <f>SUM($D$13:D45)+SUM($I$13:I45)+SUM($J$41:J45)</f>
        <v>0</v>
      </c>
    </row>
    <row r="46" spans="1:11" x14ac:dyDescent="0.25">
      <c r="A46" s="1">
        <f t="shared" si="15"/>
        <v>30</v>
      </c>
      <c r="B46" t="s">
        <v>84</v>
      </c>
      <c r="C46" s="1">
        <f t="shared" si="16"/>
        <v>2022</v>
      </c>
      <c r="D46" s="10"/>
      <c r="E46" s="10">
        <f t="shared" si="17"/>
        <v>0</v>
      </c>
      <c r="F46" s="10">
        <f>F45</f>
        <v>0</v>
      </c>
      <c r="G46" s="10">
        <f t="shared" si="18"/>
        <v>0</v>
      </c>
      <c r="H46" s="74">
        <f t="shared" si="12"/>
        <v>2.7666666666666668E-3</v>
      </c>
      <c r="I46" s="10">
        <f t="shared" si="14"/>
        <v>0</v>
      </c>
      <c r="J46" s="10">
        <f t="shared" si="13"/>
        <v>0</v>
      </c>
      <c r="K46" s="10">
        <f>SUM($D$13:D46)+SUM($I$13:I46)+SUM($J$41:J46)</f>
        <v>0</v>
      </c>
    </row>
    <row r="47" spans="1:11" x14ac:dyDescent="0.25">
      <c r="A47" s="1">
        <f t="shared" si="15"/>
        <v>31</v>
      </c>
      <c r="B47" t="s">
        <v>85</v>
      </c>
      <c r="C47" s="1">
        <f t="shared" si="16"/>
        <v>2022</v>
      </c>
      <c r="D47" s="10"/>
      <c r="E47" s="10">
        <f t="shared" si="17"/>
        <v>0</v>
      </c>
      <c r="F47" s="10">
        <f>F46+SUM(I44:I46)</f>
        <v>0</v>
      </c>
      <c r="G47" s="10">
        <f t="shared" si="18"/>
        <v>0</v>
      </c>
      <c r="H47" s="74">
        <f t="shared" si="12"/>
        <v>2.7666666666666668E-3</v>
      </c>
      <c r="I47" s="10">
        <f>G47*H47</f>
        <v>0</v>
      </c>
      <c r="J47" s="10">
        <f t="shared" si="13"/>
        <v>0</v>
      </c>
      <c r="K47" s="10">
        <f>SUM($D$13:D47)+SUM($I$13:I47)+SUM($J$41:J47)</f>
        <v>0</v>
      </c>
    </row>
    <row r="48" spans="1:11" x14ac:dyDescent="0.25">
      <c r="A48" s="1">
        <f t="shared" si="15"/>
        <v>32</v>
      </c>
      <c r="B48" t="s">
        <v>86</v>
      </c>
      <c r="C48" s="1">
        <f t="shared" si="16"/>
        <v>2022</v>
      </c>
      <c r="D48" s="10"/>
      <c r="E48" s="10">
        <f t="shared" si="17"/>
        <v>0</v>
      </c>
      <c r="F48" s="10">
        <f>F47</f>
        <v>0</v>
      </c>
      <c r="G48" s="10">
        <f t="shared" si="18"/>
        <v>0</v>
      </c>
      <c r="H48" s="74">
        <f t="shared" si="12"/>
        <v>2.7666666666666668E-3</v>
      </c>
      <c r="I48" s="10">
        <f t="shared" si="14"/>
        <v>0</v>
      </c>
      <c r="J48" s="10">
        <f t="shared" si="13"/>
        <v>0</v>
      </c>
      <c r="K48" s="10">
        <f>SUM($D$13:D48)+SUM($I$13:I48)+SUM($J$41:J48)</f>
        <v>0</v>
      </c>
    </row>
    <row r="49" spans="1:11" x14ac:dyDescent="0.25">
      <c r="A49" s="1">
        <f t="shared" si="15"/>
        <v>33</v>
      </c>
      <c r="B49" t="s">
        <v>87</v>
      </c>
      <c r="C49" s="1">
        <f t="shared" si="16"/>
        <v>2022</v>
      </c>
      <c r="D49" s="10"/>
      <c r="E49" s="10">
        <f t="shared" si="17"/>
        <v>0</v>
      </c>
      <c r="F49" s="10">
        <f>F48</f>
        <v>0</v>
      </c>
      <c r="G49" s="10">
        <f t="shared" si="18"/>
        <v>0</v>
      </c>
      <c r="H49" s="74">
        <f t="shared" si="12"/>
        <v>2.7666666666666668E-3</v>
      </c>
      <c r="I49" s="10">
        <f t="shared" si="14"/>
        <v>0</v>
      </c>
      <c r="J49" s="10">
        <f t="shared" si="13"/>
        <v>0</v>
      </c>
      <c r="K49" s="10">
        <f>SUM($D$13:D49)+SUM($I$13:I49)+SUM($J$41:J49)</f>
        <v>0</v>
      </c>
    </row>
    <row r="50" spans="1:11" x14ac:dyDescent="0.25">
      <c r="A50" s="1">
        <f t="shared" si="15"/>
        <v>34</v>
      </c>
      <c r="B50" t="s">
        <v>88</v>
      </c>
      <c r="C50" s="1">
        <f t="shared" si="16"/>
        <v>2022</v>
      </c>
      <c r="D50" s="10"/>
      <c r="E50" s="10">
        <f t="shared" si="17"/>
        <v>0</v>
      </c>
      <c r="F50" s="10">
        <f>F49+SUM(I47:I49)</f>
        <v>0</v>
      </c>
      <c r="G50" s="10">
        <f t="shared" si="18"/>
        <v>0</v>
      </c>
      <c r="H50" s="74">
        <f t="shared" si="12"/>
        <v>2.7666666666666668E-3</v>
      </c>
      <c r="I50" s="10">
        <f t="shared" si="14"/>
        <v>0</v>
      </c>
      <c r="J50" s="10">
        <f t="shared" si="13"/>
        <v>0</v>
      </c>
      <c r="K50" s="10">
        <f>SUM($D$13:D50)+SUM($I$13:I50)+SUM($J$41:J50)</f>
        <v>0</v>
      </c>
    </row>
    <row r="51" spans="1:11" x14ac:dyDescent="0.25">
      <c r="A51" s="1">
        <f t="shared" si="15"/>
        <v>35</v>
      </c>
      <c r="B51" t="s">
        <v>89</v>
      </c>
      <c r="C51" s="1">
        <f t="shared" si="16"/>
        <v>2022</v>
      </c>
      <c r="D51" s="10"/>
      <c r="E51" s="10">
        <f t="shared" si="17"/>
        <v>0</v>
      </c>
      <c r="F51" s="10">
        <f>F50</f>
        <v>0</v>
      </c>
      <c r="G51" s="10">
        <f t="shared" si="18"/>
        <v>0</v>
      </c>
      <c r="H51" s="74">
        <f t="shared" si="12"/>
        <v>2.7666666666666668E-3</v>
      </c>
      <c r="I51" s="10">
        <f t="shared" si="14"/>
        <v>0</v>
      </c>
      <c r="J51" s="10">
        <f t="shared" si="13"/>
        <v>0</v>
      </c>
      <c r="K51" s="10">
        <f>SUM($D$13:D51)+SUM($I$13:I51)+SUM($J$41:J51)</f>
        <v>0</v>
      </c>
    </row>
    <row r="52" spans="1:11" x14ac:dyDescent="0.25">
      <c r="A52" s="14">
        <f t="shared" si="15"/>
        <v>36</v>
      </c>
      <c r="B52" s="5" t="s">
        <v>90</v>
      </c>
      <c r="C52" s="14">
        <f t="shared" si="16"/>
        <v>2022</v>
      </c>
      <c r="D52" s="64"/>
      <c r="E52" s="64">
        <f t="shared" si="17"/>
        <v>0</v>
      </c>
      <c r="F52" s="64">
        <f>F51</f>
        <v>0</v>
      </c>
      <c r="G52" s="64">
        <f t="shared" si="18"/>
        <v>0</v>
      </c>
      <c r="H52" s="117">
        <f t="shared" si="12"/>
        <v>2.7666666666666668E-3</v>
      </c>
      <c r="I52" s="64">
        <f>G52*H52</f>
        <v>0</v>
      </c>
      <c r="J52" s="64">
        <f t="shared" si="13"/>
        <v>0</v>
      </c>
      <c r="K52" s="64">
        <f>SUM($D$13:D52)+SUM($I$13:I52)+SUM($J$41:J52)</f>
        <v>0</v>
      </c>
    </row>
    <row r="53" spans="1:11" x14ac:dyDescent="0.25">
      <c r="C53" s="1"/>
    </row>
    <row r="54" spans="1:11" x14ac:dyDescent="0.25">
      <c r="A54" s="1">
        <f>A52+1</f>
        <v>37</v>
      </c>
      <c r="B54" t="str">
        <f>"Total Network Transmission (Attachment H) True-Up Adjustment with Interest (Sum Lns. ("&amp;A41&amp;" through "&amp;A52&amp;") x -1.0)"</f>
        <v>Total Network Transmission (Attachment H) True-Up Adjustment with Interest (Sum Lns. (25 through 36) x -1.0)</v>
      </c>
      <c r="J54" s="10">
        <f>SUM(J41:J52)*-1</f>
        <v>0</v>
      </c>
    </row>
    <row r="55" spans="1:11" ht="18.75" x14ac:dyDescent="0.25">
      <c r="A55" s="1">
        <f>A54+1</f>
        <v>38</v>
      </c>
      <c r="B55" t="s">
        <v>836</v>
      </c>
      <c r="J55" s="64">
        <f>E112</f>
        <v>0</v>
      </c>
    </row>
    <row r="56" spans="1:11" x14ac:dyDescent="0.25">
      <c r="A56" s="1">
        <f>A55+1</f>
        <v>39</v>
      </c>
      <c r="B56" t="str">
        <f>"Total Interest for Network Transmission (Attachment H) (Lns. ("&amp;A54&amp;" - "&amp;A55&amp;"))"</f>
        <v>Total Interest for Network Transmission (Attachment H) (Lns. (37 - 38))</v>
      </c>
      <c r="J56" s="10">
        <f>J54-J55</f>
        <v>0</v>
      </c>
    </row>
    <row r="57" spans="1:11" x14ac:dyDescent="0.25">
      <c r="J57" s="10"/>
    </row>
    <row r="58" spans="1:11" ht="15.75" customHeight="1" x14ac:dyDescent="0.25">
      <c r="A58" s="89" t="s">
        <v>837</v>
      </c>
      <c r="B58" s="89"/>
      <c r="C58" s="89"/>
      <c r="D58" s="89"/>
      <c r="E58" s="89"/>
      <c r="F58" s="89"/>
      <c r="G58" s="89"/>
      <c r="H58" s="89"/>
      <c r="I58" s="89"/>
      <c r="J58" s="89"/>
      <c r="K58" s="89"/>
    </row>
    <row r="59" spans="1:11" x14ac:dyDescent="0.25">
      <c r="A59"/>
      <c r="B59" s="21" t="s">
        <v>821</v>
      </c>
      <c r="C59" s="21"/>
    </row>
    <row r="60" spans="1:11" x14ac:dyDescent="0.25">
      <c r="A60" s="1">
        <f>A56+1</f>
        <v>40</v>
      </c>
      <c r="B60" t="s">
        <v>79</v>
      </c>
      <c r="C60" s="1">
        <f>YEAR('A1 (FF1 Inputs)'!$E$12)</f>
        <v>2020</v>
      </c>
      <c r="D60" s="10">
        <f t="shared" ref="D60:D71" si="19">$F$113</f>
        <v>0</v>
      </c>
      <c r="E60" s="10">
        <v>0</v>
      </c>
      <c r="F60" s="10">
        <v>0</v>
      </c>
      <c r="G60" s="10">
        <f>E60+F60</f>
        <v>0</v>
      </c>
      <c r="H60" s="74">
        <f>H13</f>
        <v>4.1999999999999997E-3</v>
      </c>
      <c r="I60" s="10">
        <f>G60*H60</f>
        <v>0</v>
      </c>
      <c r="J60" s="10"/>
      <c r="K60" s="10">
        <f>D60+I60</f>
        <v>0</v>
      </c>
    </row>
    <row r="61" spans="1:11" x14ac:dyDescent="0.25">
      <c r="A61" s="1">
        <f>A60+1</f>
        <v>41</v>
      </c>
      <c r="B61" t="s">
        <v>80</v>
      </c>
      <c r="C61" s="1">
        <f>YEAR('A1 (FF1 Inputs)'!$E$12)</f>
        <v>2020</v>
      </c>
      <c r="D61" s="10">
        <f t="shared" si="19"/>
        <v>0</v>
      </c>
      <c r="E61" s="10">
        <f>D60+E60</f>
        <v>0</v>
      </c>
      <c r="F61" s="10">
        <v>0</v>
      </c>
      <c r="G61" s="10">
        <f t="shared" ref="G61" si="20">E61+F61</f>
        <v>0</v>
      </c>
      <c r="H61" s="74">
        <f t="shared" ref="H61:H71" si="21">H14</f>
        <v>3.8999999999999998E-3</v>
      </c>
      <c r="I61" s="10">
        <f>G61*H61</f>
        <v>0</v>
      </c>
      <c r="J61" s="10"/>
      <c r="K61" s="10">
        <f>SUM($D$60:D61)+SUM($I$60:I61)</f>
        <v>0</v>
      </c>
    </row>
    <row r="62" spans="1:11" x14ac:dyDescent="0.25">
      <c r="A62" s="1">
        <f t="shared" ref="A62:A71" si="22">A61+1</f>
        <v>42</v>
      </c>
      <c r="B62" t="s">
        <v>81</v>
      </c>
      <c r="C62" s="1">
        <f>YEAR('A1 (FF1 Inputs)'!$E$12)</f>
        <v>2020</v>
      </c>
      <c r="D62" s="10">
        <f t="shared" si="19"/>
        <v>0</v>
      </c>
      <c r="E62" s="10">
        <f>D61+E61</f>
        <v>0</v>
      </c>
      <c r="F62" s="10">
        <v>0</v>
      </c>
      <c r="G62" s="10">
        <f>E62+F62</f>
        <v>0</v>
      </c>
      <c r="H62" s="74">
        <f t="shared" si="21"/>
        <v>4.1999999999999997E-3</v>
      </c>
      <c r="I62" s="10">
        <f>G62*H62</f>
        <v>0</v>
      </c>
      <c r="J62" s="10"/>
      <c r="K62" s="10">
        <f>SUM($D$60:D62)+SUM($I$60:I62)</f>
        <v>0</v>
      </c>
    </row>
    <row r="63" spans="1:11" x14ac:dyDescent="0.25">
      <c r="A63" s="1">
        <f t="shared" si="22"/>
        <v>43</v>
      </c>
      <c r="B63" t="s">
        <v>82</v>
      </c>
      <c r="C63" s="1">
        <f>YEAR('A1 (FF1 Inputs)'!$E$12)</f>
        <v>2020</v>
      </c>
      <c r="D63" s="10">
        <f t="shared" si="19"/>
        <v>0</v>
      </c>
      <c r="E63" s="10">
        <f>D62+E62</f>
        <v>0</v>
      </c>
      <c r="F63" s="10">
        <f>F62+SUM(I60:I62)</f>
        <v>0</v>
      </c>
      <c r="G63" s="10">
        <f>E63+F63</f>
        <v>0</v>
      </c>
      <c r="H63" s="74">
        <f t="shared" si="21"/>
        <v>3.8999999999999998E-3</v>
      </c>
      <c r="I63" s="10">
        <f>G63*H63</f>
        <v>0</v>
      </c>
      <c r="J63" s="10"/>
      <c r="K63" s="10">
        <f>SUM($D$60:D63)+SUM($I$60:I63)</f>
        <v>0</v>
      </c>
    </row>
    <row r="64" spans="1:11" x14ac:dyDescent="0.25">
      <c r="A64" s="1">
        <f t="shared" si="22"/>
        <v>44</v>
      </c>
      <c r="B64" t="s">
        <v>83</v>
      </c>
      <c r="C64" s="1">
        <f>YEAR('A1 (FF1 Inputs)'!$E$12)</f>
        <v>2020</v>
      </c>
      <c r="D64" s="10">
        <f t="shared" si="19"/>
        <v>0</v>
      </c>
      <c r="E64" s="10">
        <f>D63+E63</f>
        <v>0</v>
      </c>
      <c r="F64" s="10">
        <f>F63</f>
        <v>0</v>
      </c>
      <c r="G64" s="10">
        <f t="shared" ref="G64:G71" si="23">E64+F64</f>
        <v>0</v>
      </c>
      <c r="H64" s="74">
        <f t="shared" si="21"/>
        <v>4.0000000000000001E-3</v>
      </c>
      <c r="I64" s="10">
        <f t="shared" ref="I64:I71" si="24">G64*H64</f>
        <v>0</v>
      </c>
      <c r="J64" s="10"/>
      <c r="K64" s="10">
        <f>SUM($D$60:D64)+SUM($I$60:I64)</f>
        <v>0</v>
      </c>
    </row>
    <row r="65" spans="1:11" x14ac:dyDescent="0.25">
      <c r="A65" s="1">
        <f t="shared" si="22"/>
        <v>45</v>
      </c>
      <c r="B65" t="s">
        <v>84</v>
      </c>
      <c r="C65" s="1">
        <f>YEAR('A1 (FF1 Inputs)'!$E$12)</f>
        <v>2020</v>
      </c>
      <c r="D65" s="10">
        <f t="shared" si="19"/>
        <v>0</v>
      </c>
      <c r="E65" s="10">
        <f t="shared" ref="E65:E71" si="25">D64+E64</f>
        <v>0</v>
      </c>
      <c r="F65" s="10">
        <f>F64</f>
        <v>0</v>
      </c>
      <c r="G65" s="10">
        <f t="shared" si="23"/>
        <v>0</v>
      </c>
      <c r="H65" s="74">
        <f t="shared" si="21"/>
        <v>3.8999999999999998E-3</v>
      </c>
      <c r="I65" s="10">
        <f t="shared" si="24"/>
        <v>0</v>
      </c>
      <c r="J65" s="10"/>
      <c r="K65" s="10">
        <f>SUM($D$60:D65)+SUM($I$60:I65)</f>
        <v>0</v>
      </c>
    </row>
    <row r="66" spans="1:11" x14ac:dyDescent="0.25">
      <c r="A66" s="1">
        <f t="shared" si="22"/>
        <v>46</v>
      </c>
      <c r="B66" t="s">
        <v>85</v>
      </c>
      <c r="C66" s="1">
        <f>YEAR('A1 (FF1 Inputs)'!$E$12)</f>
        <v>2020</v>
      </c>
      <c r="D66" s="10">
        <f t="shared" si="19"/>
        <v>0</v>
      </c>
      <c r="E66" s="10">
        <f t="shared" si="25"/>
        <v>0</v>
      </c>
      <c r="F66" s="10">
        <f>F65+SUM(I63:I65)</f>
        <v>0</v>
      </c>
      <c r="G66" s="10">
        <f>E66+F66</f>
        <v>0</v>
      </c>
      <c r="H66" s="74">
        <f t="shared" si="21"/>
        <v>2.8999999999999998E-3</v>
      </c>
      <c r="I66" s="10">
        <f t="shared" si="24"/>
        <v>0</v>
      </c>
      <c r="J66" s="10"/>
      <c r="K66" s="10">
        <f>SUM($D$60:D66)+SUM($I$60:I66)</f>
        <v>0</v>
      </c>
    </row>
    <row r="67" spans="1:11" x14ac:dyDescent="0.25">
      <c r="A67" s="1">
        <f t="shared" si="22"/>
        <v>47</v>
      </c>
      <c r="B67" t="s">
        <v>86</v>
      </c>
      <c r="C67" s="1">
        <f>YEAR('A1 (FF1 Inputs)'!$E$12)</f>
        <v>2020</v>
      </c>
      <c r="D67" s="10">
        <f t="shared" si="19"/>
        <v>0</v>
      </c>
      <c r="E67" s="10">
        <f t="shared" si="25"/>
        <v>0</v>
      </c>
      <c r="F67" s="10">
        <f>F66</f>
        <v>0</v>
      </c>
      <c r="G67" s="10">
        <f t="shared" si="23"/>
        <v>0</v>
      </c>
      <c r="H67" s="74">
        <f t="shared" si="21"/>
        <v>2.8999999999999998E-3</v>
      </c>
      <c r="I67" s="10">
        <f t="shared" si="24"/>
        <v>0</v>
      </c>
      <c r="J67" s="10"/>
      <c r="K67" s="10">
        <f>SUM($D$60:D67)+SUM($I$60:I67)</f>
        <v>0</v>
      </c>
    </row>
    <row r="68" spans="1:11" x14ac:dyDescent="0.25">
      <c r="A68" s="1">
        <f t="shared" si="22"/>
        <v>48</v>
      </c>
      <c r="B68" t="s">
        <v>87</v>
      </c>
      <c r="C68" s="1">
        <f>YEAR('A1 (FF1 Inputs)'!$E$12)</f>
        <v>2020</v>
      </c>
      <c r="D68" s="10">
        <f t="shared" si="19"/>
        <v>0</v>
      </c>
      <c r="E68" s="10">
        <f t="shared" si="25"/>
        <v>0</v>
      </c>
      <c r="F68" s="10">
        <f>F67</f>
        <v>0</v>
      </c>
      <c r="G68" s="10">
        <f t="shared" si="23"/>
        <v>0</v>
      </c>
      <c r="H68" s="74">
        <f t="shared" si="21"/>
        <v>2.8E-3</v>
      </c>
      <c r="I68" s="10">
        <f t="shared" si="24"/>
        <v>0</v>
      </c>
      <c r="J68" s="10"/>
      <c r="K68" s="10">
        <f>SUM($D$60:D68)+SUM($I$60:I68)</f>
        <v>0</v>
      </c>
    </row>
    <row r="69" spans="1:11" x14ac:dyDescent="0.25">
      <c r="A69" s="1">
        <f t="shared" si="22"/>
        <v>49</v>
      </c>
      <c r="B69" t="s">
        <v>88</v>
      </c>
      <c r="C69" s="1">
        <f>YEAR('A1 (FF1 Inputs)'!$E$12)</f>
        <v>2020</v>
      </c>
      <c r="D69" s="10">
        <f t="shared" si="19"/>
        <v>0</v>
      </c>
      <c r="E69" s="10">
        <f t="shared" si="25"/>
        <v>0</v>
      </c>
      <c r="F69" s="10">
        <f>F68+SUM(I66:I68)</f>
        <v>0</v>
      </c>
      <c r="G69" s="10">
        <f t="shared" si="23"/>
        <v>0</v>
      </c>
      <c r="H69" s="74">
        <f t="shared" si="21"/>
        <v>2.8E-3</v>
      </c>
      <c r="I69" s="10">
        <f t="shared" si="24"/>
        <v>0</v>
      </c>
      <c r="J69" s="10"/>
      <c r="K69" s="10">
        <f>SUM($D$60:D69)+SUM($I$60:I69)</f>
        <v>0</v>
      </c>
    </row>
    <row r="70" spans="1:11" x14ac:dyDescent="0.25">
      <c r="A70" s="1">
        <f t="shared" si="22"/>
        <v>50</v>
      </c>
      <c r="B70" t="s">
        <v>89</v>
      </c>
      <c r="C70" s="1">
        <f>YEAR('A1 (FF1 Inputs)'!$E$12)</f>
        <v>2020</v>
      </c>
      <c r="D70" s="10">
        <f t="shared" si="19"/>
        <v>0</v>
      </c>
      <c r="E70" s="10">
        <f t="shared" si="25"/>
        <v>0</v>
      </c>
      <c r="F70" s="10">
        <f>F69</f>
        <v>0</v>
      </c>
      <c r="G70" s="10">
        <f t="shared" si="23"/>
        <v>0</v>
      </c>
      <c r="H70" s="74">
        <f t="shared" si="21"/>
        <v>2.7000000000000001E-3</v>
      </c>
      <c r="I70" s="10">
        <f t="shared" si="24"/>
        <v>0</v>
      </c>
      <c r="J70" s="10"/>
      <c r="K70" s="10">
        <f>SUM($D$60:D70)+SUM($I$60:I70)</f>
        <v>0</v>
      </c>
    </row>
    <row r="71" spans="1:11" x14ac:dyDescent="0.25">
      <c r="A71" s="1">
        <f t="shared" si="22"/>
        <v>51</v>
      </c>
      <c r="B71" t="s">
        <v>90</v>
      </c>
      <c r="C71" s="1">
        <f>YEAR('A1 (FF1 Inputs)'!$E$12)</f>
        <v>2020</v>
      </c>
      <c r="D71" s="10">
        <f t="shared" si="19"/>
        <v>0</v>
      </c>
      <c r="E71" s="10">
        <f t="shared" si="25"/>
        <v>0</v>
      </c>
      <c r="F71" s="10">
        <f>F70</f>
        <v>0</v>
      </c>
      <c r="G71" s="10">
        <f t="shared" si="23"/>
        <v>0</v>
      </c>
      <c r="H71" s="74">
        <f t="shared" si="21"/>
        <v>2.8E-3</v>
      </c>
      <c r="I71" s="10">
        <f t="shared" si="24"/>
        <v>0</v>
      </c>
      <c r="J71" s="10"/>
      <c r="K71" s="10">
        <f>SUM($D$60:D71)+SUM($I$60:I71)</f>
        <v>0</v>
      </c>
    </row>
    <row r="73" spans="1:11" x14ac:dyDescent="0.25">
      <c r="B73" s="21" t="s">
        <v>823</v>
      </c>
    </row>
    <row r="74" spans="1:11" x14ac:dyDescent="0.25">
      <c r="A74" s="1">
        <f>A71+1</f>
        <v>52</v>
      </c>
      <c r="B74" t="s">
        <v>79</v>
      </c>
      <c r="C74" s="1">
        <f>C60+1</f>
        <v>2021</v>
      </c>
      <c r="D74" s="10"/>
      <c r="E74" s="10">
        <f>D71+E71</f>
        <v>0</v>
      </c>
      <c r="F74" s="10">
        <f>F71+SUM(I69:I71)</f>
        <v>0</v>
      </c>
      <c r="G74" s="10">
        <f t="shared" ref="G74:G76" si="26">E74+F74</f>
        <v>0</v>
      </c>
      <c r="H74" s="74">
        <f>H27</f>
        <v>2.8E-3</v>
      </c>
      <c r="I74" s="10">
        <f>G74*H74</f>
        <v>0</v>
      </c>
      <c r="J74" s="10"/>
      <c r="K74" s="10">
        <f>SUM($D$60:D74)+SUM($I$60:I74)</f>
        <v>0</v>
      </c>
    </row>
    <row r="75" spans="1:11" x14ac:dyDescent="0.25">
      <c r="A75" s="1">
        <f>A74+1</f>
        <v>53</v>
      </c>
      <c r="B75" t="s">
        <v>80</v>
      </c>
      <c r="C75" s="1">
        <f>C74</f>
        <v>2021</v>
      </c>
      <c r="D75" s="10"/>
      <c r="E75" s="10">
        <f>D74+E74</f>
        <v>0</v>
      </c>
      <c r="F75" s="10">
        <f>F74</f>
        <v>0</v>
      </c>
      <c r="G75" s="10">
        <f t="shared" si="26"/>
        <v>0</v>
      </c>
      <c r="H75" s="74">
        <f t="shared" ref="H75:H85" si="27">H28</f>
        <v>2.5000000000000001E-3</v>
      </c>
      <c r="I75" s="10">
        <f t="shared" ref="I75:I85" si="28">G75*H75</f>
        <v>0</v>
      </c>
      <c r="J75" s="10"/>
      <c r="K75" s="10">
        <f>SUM($D$60:D75)+SUM($I$60:I75)</f>
        <v>0</v>
      </c>
    </row>
    <row r="76" spans="1:11" x14ac:dyDescent="0.25">
      <c r="A76" s="1">
        <f t="shared" ref="A76:A85" si="29">A75+1</f>
        <v>54</v>
      </c>
      <c r="B76" t="s">
        <v>81</v>
      </c>
      <c r="C76" s="1">
        <f t="shared" ref="C76:C85" si="30">C75</f>
        <v>2021</v>
      </c>
      <c r="D76" s="10"/>
      <c r="E76" s="10">
        <f t="shared" ref="E76:E85" si="31">D75+E75</f>
        <v>0</v>
      </c>
      <c r="F76" s="10">
        <f>F75</f>
        <v>0</v>
      </c>
      <c r="G76" s="10">
        <f t="shared" si="26"/>
        <v>0</v>
      </c>
      <c r="H76" s="74">
        <f t="shared" si="27"/>
        <v>2.8E-3</v>
      </c>
      <c r="I76" s="10">
        <f t="shared" si="28"/>
        <v>0</v>
      </c>
      <c r="J76" s="10"/>
      <c r="K76" s="10">
        <f>SUM($D$60:D76)+SUM($I$60:I76)</f>
        <v>0</v>
      </c>
    </row>
    <row r="77" spans="1:11" x14ac:dyDescent="0.25">
      <c r="A77" s="1">
        <f t="shared" si="29"/>
        <v>55</v>
      </c>
      <c r="B77" t="s">
        <v>82</v>
      </c>
      <c r="C77" s="1">
        <f t="shared" si="30"/>
        <v>2021</v>
      </c>
      <c r="D77" s="10"/>
      <c r="E77" s="10">
        <f t="shared" si="31"/>
        <v>0</v>
      </c>
      <c r="F77" s="10">
        <f>F76+SUM(I74:I76)</f>
        <v>0</v>
      </c>
      <c r="G77" s="10">
        <f>E77+F77</f>
        <v>0</v>
      </c>
      <c r="H77" s="74">
        <f t="shared" si="27"/>
        <v>2.7000000000000001E-3</v>
      </c>
      <c r="I77" s="10">
        <f t="shared" si="28"/>
        <v>0</v>
      </c>
      <c r="J77" s="10"/>
      <c r="K77" s="10">
        <f>SUM($D$60:D77)+SUM($I$60:I77)</f>
        <v>0</v>
      </c>
    </row>
    <row r="78" spans="1:11" x14ac:dyDescent="0.25">
      <c r="A78" s="1">
        <f t="shared" si="29"/>
        <v>56</v>
      </c>
      <c r="B78" t="s">
        <v>83</v>
      </c>
      <c r="C78" s="1">
        <f t="shared" si="30"/>
        <v>2021</v>
      </c>
      <c r="D78" s="10"/>
      <c r="E78" s="10">
        <f t="shared" si="31"/>
        <v>0</v>
      </c>
      <c r="F78" s="10">
        <f>F77</f>
        <v>0</v>
      </c>
      <c r="G78" s="10">
        <f t="shared" ref="G78:G85" si="32">E78+F78</f>
        <v>0</v>
      </c>
      <c r="H78" s="74">
        <f t="shared" si="27"/>
        <v>2.8E-3</v>
      </c>
      <c r="I78" s="10">
        <f t="shared" si="28"/>
        <v>0</v>
      </c>
      <c r="J78" s="10"/>
      <c r="K78" s="10">
        <f>SUM($D$60:D78)+SUM($I$60:I78)</f>
        <v>0</v>
      </c>
    </row>
    <row r="79" spans="1:11" x14ac:dyDescent="0.25">
      <c r="A79" s="1">
        <f t="shared" si="29"/>
        <v>57</v>
      </c>
      <c r="B79" t="s">
        <v>84</v>
      </c>
      <c r="C79" s="1">
        <f t="shared" si="30"/>
        <v>2021</v>
      </c>
      <c r="D79" s="10"/>
      <c r="E79" s="10">
        <f t="shared" si="31"/>
        <v>0</v>
      </c>
      <c r="F79" s="10">
        <f>F78</f>
        <v>0</v>
      </c>
      <c r="G79" s="10">
        <f t="shared" si="32"/>
        <v>0</v>
      </c>
      <c r="H79" s="74">
        <f t="shared" si="27"/>
        <v>2.7000000000000001E-3</v>
      </c>
      <c r="I79" s="10">
        <f t="shared" si="28"/>
        <v>0</v>
      </c>
      <c r="J79" s="10"/>
      <c r="K79" s="10">
        <f>SUM($D$60:D79)+SUM($I$60:I79)</f>
        <v>0</v>
      </c>
    </row>
    <row r="80" spans="1:11" x14ac:dyDescent="0.25">
      <c r="A80" s="1">
        <f t="shared" si="29"/>
        <v>58</v>
      </c>
      <c r="B80" t="s">
        <v>85</v>
      </c>
      <c r="C80" s="1">
        <f t="shared" si="30"/>
        <v>2021</v>
      </c>
      <c r="D80" s="10"/>
      <c r="E80" s="10">
        <f t="shared" si="31"/>
        <v>0</v>
      </c>
      <c r="F80" s="10">
        <f>F79+SUM(I77:I79)</f>
        <v>0</v>
      </c>
      <c r="G80" s="10">
        <f t="shared" si="32"/>
        <v>0</v>
      </c>
      <c r="H80" s="74">
        <f t="shared" si="27"/>
        <v>2.7666666666666668E-3</v>
      </c>
      <c r="I80" s="10">
        <f t="shared" si="28"/>
        <v>0</v>
      </c>
      <c r="J80" s="10"/>
      <c r="K80" s="10">
        <f>SUM($D$60:D80)+SUM($I$60:I80)</f>
        <v>0</v>
      </c>
    </row>
    <row r="81" spans="1:11" x14ac:dyDescent="0.25">
      <c r="A81" s="1">
        <f t="shared" si="29"/>
        <v>59</v>
      </c>
      <c r="B81" t="s">
        <v>86</v>
      </c>
      <c r="C81" s="1">
        <f t="shared" si="30"/>
        <v>2021</v>
      </c>
      <c r="D81" s="10"/>
      <c r="E81" s="10">
        <f t="shared" si="31"/>
        <v>0</v>
      </c>
      <c r="F81" s="10">
        <f>F80</f>
        <v>0</v>
      </c>
      <c r="G81" s="10">
        <f t="shared" si="32"/>
        <v>0</v>
      </c>
      <c r="H81" s="74">
        <f t="shared" si="27"/>
        <v>2.7666666666666668E-3</v>
      </c>
      <c r="I81" s="10">
        <f t="shared" si="28"/>
        <v>0</v>
      </c>
      <c r="J81" s="10"/>
      <c r="K81" s="10">
        <f>SUM($D$60:D81)+SUM($I$60:I81)</f>
        <v>0</v>
      </c>
    </row>
    <row r="82" spans="1:11" x14ac:dyDescent="0.25">
      <c r="A82" s="1">
        <f t="shared" si="29"/>
        <v>60</v>
      </c>
      <c r="B82" t="s">
        <v>87</v>
      </c>
      <c r="C82" s="1">
        <f t="shared" si="30"/>
        <v>2021</v>
      </c>
      <c r="D82" s="10"/>
      <c r="E82" s="10">
        <f>D81+E81</f>
        <v>0</v>
      </c>
      <c r="F82" s="10">
        <f>F81</f>
        <v>0</v>
      </c>
      <c r="G82" s="10">
        <f t="shared" si="32"/>
        <v>0</v>
      </c>
      <c r="H82" s="74">
        <f t="shared" si="27"/>
        <v>2.7666666666666668E-3</v>
      </c>
      <c r="I82" s="10">
        <f t="shared" si="28"/>
        <v>0</v>
      </c>
      <c r="J82" s="10"/>
      <c r="K82" s="10">
        <f>SUM($D$60:D82)+SUM($I$60:I82)</f>
        <v>0</v>
      </c>
    </row>
    <row r="83" spans="1:11" x14ac:dyDescent="0.25">
      <c r="A83" s="1">
        <f t="shared" si="29"/>
        <v>61</v>
      </c>
      <c r="B83" t="s">
        <v>88</v>
      </c>
      <c r="C83" s="1">
        <f t="shared" si="30"/>
        <v>2021</v>
      </c>
      <c r="D83" s="10"/>
      <c r="E83" s="10">
        <f t="shared" si="31"/>
        <v>0</v>
      </c>
      <c r="F83" s="10">
        <f>F82+SUM(I80:I82)</f>
        <v>0</v>
      </c>
      <c r="G83" s="10">
        <f t="shared" si="32"/>
        <v>0</v>
      </c>
      <c r="H83" s="74">
        <f t="shared" si="27"/>
        <v>2.7666666666666668E-3</v>
      </c>
      <c r="I83" s="10">
        <f t="shared" si="28"/>
        <v>0</v>
      </c>
      <c r="J83" s="10"/>
      <c r="K83" s="10">
        <f>SUM($D$60:D83)+SUM($I$60:I83)</f>
        <v>0</v>
      </c>
    </row>
    <row r="84" spans="1:11" x14ac:dyDescent="0.25">
      <c r="A84" s="1">
        <f t="shared" si="29"/>
        <v>62</v>
      </c>
      <c r="B84" t="s">
        <v>89</v>
      </c>
      <c r="C84" s="1">
        <f t="shared" si="30"/>
        <v>2021</v>
      </c>
      <c r="D84" s="10"/>
      <c r="E84" s="10">
        <f t="shared" si="31"/>
        <v>0</v>
      </c>
      <c r="F84" s="10">
        <f>F83</f>
        <v>0</v>
      </c>
      <c r="G84" s="10">
        <f t="shared" si="32"/>
        <v>0</v>
      </c>
      <c r="H84" s="74">
        <f t="shared" si="27"/>
        <v>2.7666666666666668E-3</v>
      </c>
      <c r="I84" s="10">
        <f t="shared" si="28"/>
        <v>0</v>
      </c>
      <c r="J84" s="10"/>
      <c r="K84" s="10">
        <f>SUM($D$60:D84)+SUM($I$60:I84)</f>
        <v>0</v>
      </c>
    </row>
    <row r="85" spans="1:11" x14ac:dyDescent="0.25">
      <c r="A85" s="1">
        <f t="shared" si="29"/>
        <v>63</v>
      </c>
      <c r="B85" t="s">
        <v>90</v>
      </c>
      <c r="C85" s="1">
        <f t="shared" si="30"/>
        <v>2021</v>
      </c>
      <c r="D85" s="10"/>
      <c r="E85" s="10">
        <f t="shared" si="31"/>
        <v>0</v>
      </c>
      <c r="F85" s="10">
        <f>F84</f>
        <v>0</v>
      </c>
      <c r="G85" s="10">
        <f t="shared" si="32"/>
        <v>0</v>
      </c>
      <c r="H85" s="74">
        <f t="shared" si="27"/>
        <v>2.7666666666666668E-3</v>
      </c>
      <c r="I85" s="10">
        <f t="shared" si="28"/>
        <v>0</v>
      </c>
      <c r="J85" s="10"/>
      <c r="K85" s="10">
        <f>SUM($D$60:D85)+SUM($I$60:I85)</f>
        <v>0</v>
      </c>
    </row>
    <row r="87" spans="1:11" x14ac:dyDescent="0.25">
      <c r="B87" s="21" t="s">
        <v>824</v>
      </c>
    </row>
    <row r="88" spans="1:11" x14ac:dyDescent="0.25">
      <c r="A88" s="1">
        <f>A85+1</f>
        <v>64</v>
      </c>
      <c r="B88" t="s">
        <v>79</v>
      </c>
      <c r="C88" s="1">
        <f>C74+1</f>
        <v>2022</v>
      </c>
      <c r="D88" s="10"/>
      <c r="E88" s="10">
        <f>D85+E85</f>
        <v>0</v>
      </c>
      <c r="F88" s="10">
        <f>F85+SUM(I83:I85)</f>
        <v>0</v>
      </c>
      <c r="G88" s="10">
        <f t="shared" ref="G88" si="33">E88+F88</f>
        <v>0</v>
      </c>
      <c r="H88" s="74">
        <f>H41</f>
        <v>2.7666666666666668E-3</v>
      </c>
      <c r="I88" s="10">
        <f>G88*H88</f>
        <v>0</v>
      </c>
      <c r="J88" s="10">
        <f>PMT(H88,12,$K$85)</f>
        <v>0</v>
      </c>
      <c r="K88" s="10">
        <f>SUM($D$60:D88)+SUM($I$60:I88)+SUM($J$88:J88)</f>
        <v>0</v>
      </c>
    </row>
    <row r="89" spans="1:11" x14ac:dyDescent="0.25">
      <c r="A89" s="1">
        <f>A88+1</f>
        <v>65</v>
      </c>
      <c r="B89" t="s">
        <v>80</v>
      </c>
      <c r="C89" s="1">
        <f>C88</f>
        <v>2022</v>
      </c>
      <c r="D89" s="10"/>
      <c r="E89" s="10">
        <f>D88+E88</f>
        <v>0</v>
      </c>
      <c r="F89" s="10">
        <f>F88</f>
        <v>0</v>
      </c>
      <c r="G89" s="10">
        <f>K88</f>
        <v>0</v>
      </c>
      <c r="H89" s="74">
        <f t="shared" ref="H89:H99" si="34">H42</f>
        <v>2.7666666666666668E-3</v>
      </c>
      <c r="I89" s="10">
        <f t="shared" ref="I89:I90" si="35">G89*H89</f>
        <v>0</v>
      </c>
      <c r="J89" s="10">
        <f t="shared" ref="J89:J99" si="36">PMT(H89,12,$K$85)</f>
        <v>0</v>
      </c>
      <c r="K89" s="10">
        <f>SUM($D$60:D89)+SUM($I$60:I89)+SUM($J$88:J89)</f>
        <v>0</v>
      </c>
    </row>
    <row r="90" spans="1:11" x14ac:dyDescent="0.25">
      <c r="A90" s="1">
        <f t="shared" ref="A90:A99" si="37">A89+1</f>
        <v>66</v>
      </c>
      <c r="B90" t="s">
        <v>81</v>
      </c>
      <c r="C90" s="1">
        <f t="shared" ref="C90:C99" si="38">C89</f>
        <v>2022</v>
      </c>
      <c r="D90" s="10"/>
      <c r="E90" s="10">
        <f t="shared" ref="E90:E99" si="39">D89+E89</f>
        <v>0</v>
      </c>
      <c r="F90" s="10">
        <f>F89</f>
        <v>0</v>
      </c>
      <c r="G90" s="10">
        <f t="shared" ref="G90:G99" si="40">K89</f>
        <v>0</v>
      </c>
      <c r="H90" s="74">
        <f t="shared" si="34"/>
        <v>2.7666666666666668E-3</v>
      </c>
      <c r="I90" s="10">
        <f t="shared" si="35"/>
        <v>0</v>
      </c>
      <c r="J90" s="10">
        <f t="shared" si="36"/>
        <v>0</v>
      </c>
      <c r="K90" s="10">
        <f>SUM($D$60:D90)+SUM($I$60:I90)+SUM($J$88:J90)</f>
        <v>0</v>
      </c>
    </row>
    <row r="91" spans="1:11" x14ac:dyDescent="0.25">
      <c r="A91" s="1">
        <f t="shared" si="37"/>
        <v>67</v>
      </c>
      <c r="B91" t="s">
        <v>82</v>
      </c>
      <c r="C91" s="1">
        <f t="shared" si="38"/>
        <v>2022</v>
      </c>
      <c r="D91" s="10"/>
      <c r="E91" s="10">
        <f t="shared" si="39"/>
        <v>0</v>
      </c>
      <c r="F91" s="10">
        <f>F90+SUM(I88:I90)</f>
        <v>0</v>
      </c>
      <c r="G91" s="10">
        <f t="shared" si="40"/>
        <v>0</v>
      </c>
      <c r="H91" s="74">
        <f t="shared" si="34"/>
        <v>2.7666666666666668E-3</v>
      </c>
      <c r="I91" s="10">
        <f>G91*H91</f>
        <v>0</v>
      </c>
      <c r="J91" s="10">
        <f t="shared" si="36"/>
        <v>0</v>
      </c>
      <c r="K91" s="10">
        <f>SUM($D$60:D91)+SUM($I$60:I91)+SUM($J$88:J91)</f>
        <v>0</v>
      </c>
    </row>
    <row r="92" spans="1:11" x14ac:dyDescent="0.25">
      <c r="A92" s="1">
        <f t="shared" si="37"/>
        <v>68</v>
      </c>
      <c r="B92" t="s">
        <v>83</v>
      </c>
      <c r="C92" s="1">
        <f t="shared" si="38"/>
        <v>2022</v>
      </c>
      <c r="D92" s="10"/>
      <c r="E92" s="10">
        <f t="shared" si="39"/>
        <v>0</v>
      </c>
      <c r="F92" s="10">
        <f>F91</f>
        <v>0</v>
      </c>
      <c r="G92" s="10">
        <f t="shared" si="40"/>
        <v>0</v>
      </c>
      <c r="H92" s="74">
        <f>H45</f>
        <v>2.7666666666666668E-3</v>
      </c>
      <c r="I92" s="10">
        <f t="shared" ref="I92:I93" si="41">G92*H92</f>
        <v>0</v>
      </c>
      <c r="J92" s="10">
        <f t="shared" si="36"/>
        <v>0</v>
      </c>
      <c r="K92" s="10">
        <f>SUM($D$60:D92)+SUM($I$60:I92)+SUM($J$88:J92)</f>
        <v>0</v>
      </c>
    </row>
    <row r="93" spans="1:11" x14ac:dyDescent="0.25">
      <c r="A93" s="1">
        <f t="shared" si="37"/>
        <v>69</v>
      </c>
      <c r="B93" t="s">
        <v>84</v>
      </c>
      <c r="C93" s="1">
        <f t="shared" si="38"/>
        <v>2022</v>
      </c>
      <c r="D93" s="10"/>
      <c r="E93" s="10">
        <f t="shared" si="39"/>
        <v>0</v>
      </c>
      <c r="F93" s="10">
        <f>F92</f>
        <v>0</v>
      </c>
      <c r="G93" s="10">
        <f t="shared" si="40"/>
        <v>0</v>
      </c>
      <c r="H93" s="74">
        <f t="shared" si="34"/>
        <v>2.7666666666666668E-3</v>
      </c>
      <c r="I93" s="10">
        <f t="shared" si="41"/>
        <v>0</v>
      </c>
      <c r="J93" s="10">
        <f t="shared" si="36"/>
        <v>0</v>
      </c>
      <c r="K93" s="10">
        <f>SUM($D$60:D93)+SUM($I$60:I93)+SUM($J$88:J93)</f>
        <v>0</v>
      </c>
    </row>
    <row r="94" spans="1:11" x14ac:dyDescent="0.25">
      <c r="A94" s="1">
        <f t="shared" si="37"/>
        <v>70</v>
      </c>
      <c r="B94" t="s">
        <v>85</v>
      </c>
      <c r="C94" s="1">
        <f t="shared" si="38"/>
        <v>2022</v>
      </c>
      <c r="D94" s="10"/>
      <c r="E94" s="10">
        <f t="shared" si="39"/>
        <v>0</v>
      </c>
      <c r="F94" s="10">
        <f>F93+SUM(I91:I93)</f>
        <v>0</v>
      </c>
      <c r="G94" s="10">
        <f t="shared" si="40"/>
        <v>0</v>
      </c>
      <c r="H94" s="74">
        <f t="shared" si="34"/>
        <v>2.7666666666666668E-3</v>
      </c>
      <c r="I94" s="10">
        <f>G94*H94</f>
        <v>0</v>
      </c>
      <c r="J94" s="10">
        <f t="shared" si="36"/>
        <v>0</v>
      </c>
      <c r="K94" s="10">
        <f>SUM($D$60:D94)+SUM($I$60:I94)+SUM($J$88:J94)</f>
        <v>0</v>
      </c>
    </row>
    <row r="95" spans="1:11" x14ac:dyDescent="0.25">
      <c r="A95" s="1">
        <f t="shared" si="37"/>
        <v>71</v>
      </c>
      <c r="B95" t="s">
        <v>86</v>
      </c>
      <c r="C95" s="1">
        <f t="shared" si="38"/>
        <v>2022</v>
      </c>
      <c r="D95" s="10"/>
      <c r="E95" s="10">
        <f t="shared" si="39"/>
        <v>0</v>
      </c>
      <c r="F95" s="10">
        <f>F94</f>
        <v>0</v>
      </c>
      <c r="G95" s="10">
        <f t="shared" si="40"/>
        <v>0</v>
      </c>
      <c r="H95" s="74">
        <f t="shared" si="34"/>
        <v>2.7666666666666668E-3</v>
      </c>
      <c r="I95" s="10">
        <f t="shared" ref="I95:I98" si="42">G95*H95</f>
        <v>0</v>
      </c>
      <c r="J95" s="10">
        <f t="shared" si="36"/>
        <v>0</v>
      </c>
      <c r="K95" s="10">
        <f>SUM($D$60:D95)+SUM($I$60:I95)+SUM($J$88:J95)</f>
        <v>0</v>
      </c>
    </row>
    <row r="96" spans="1:11" x14ac:dyDescent="0.25">
      <c r="A96" s="1">
        <f t="shared" si="37"/>
        <v>72</v>
      </c>
      <c r="B96" t="s">
        <v>87</v>
      </c>
      <c r="C96" s="1">
        <f t="shared" si="38"/>
        <v>2022</v>
      </c>
      <c r="D96" s="10"/>
      <c r="E96" s="10">
        <f t="shared" si="39"/>
        <v>0</v>
      </c>
      <c r="F96" s="10">
        <f>F95</f>
        <v>0</v>
      </c>
      <c r="G96" s="10">
        <f t="shared" si="40"/>
        <v>0</v>
      </c>
      <c r="H96" s="74">
        <f t="shared" si="34"/>
        <v>2.7666666666666668E-3</v>
      </c>
      <c r="I96" s="10">
        <f t="shared" si="42"/>
        <v>0</v>
      </c>
      <c r="J96" s="10">
        <f t="shared" si="36"/>
        <v>0</v>
      </c>
      <c r="K96" s="10">
        <f>SUM($D$60:D96)+SUM($I$60:I96)+SUM($J$88:J96)</f>
        <v>0</v>
      </c>
    </row>
    <row r="97" spans="1:11" x14ac:dyDescent="0.25">
      <c r="A97" s="1">
        <f t="shared" si="37"/>
        <v>73</v>
      </c>
      <c r="B97" t="s">
        <v>88</v>
      </c>
      <c r="C97" s="1">
        <f t="shared" si="38"/>
        <v>2022</v>
      </c>
      <c r="D97" s="10"/>
      <c r="E97" s="10">
        <f t="shared" si="39"/>
        <v>0</v>
      </c>
      <c r="F97" s="10">
        <f>F96+SUM(I94:I96)</f>
        <v>0</v>
      </c>
      <c r="G97" s="10">
        <f t="shared" si="40"/>
        <v>0</v>
      </c>
      <c r="H97" s="74">
        <f t="shared" si="34"/>
        <v>2.7666666666666668E-3</v>
      </c>
      <c r="I97" s="10">
        <f t="shared" si="42"/>
        <v>0</v>
      </c>
      <c r="J97" s="10">
        <f t="shared" si="36"/>
        <v>0</v>
      </c>
      <c r="K97" s="10">
        <f>SUM($D$60:D97)+SUM($I$60:I97)+SUM($J$88:J97)</f>
        <v>0</v>
      </c>
    </row>
    <row r="98" spans="1:11" x14ac:dyDescent="0.25">
      <c r="A98" s="1">
        <f t="shared" si="37"/>
        <v>74</v>
      </c>
      <c r="B98" t="s">
        <v>89</v>
      </c>
      <c r="C98" s="1">
        <f t="shared" si="38"/>
        <v>2022</v>
      </c>
      <c r="D98" s="10"/>
      <c r="E98" s="10">
        <f t="shared" si="39"/>
        <v>0</v>
      </c>
      <c r="F98" s="10">
        <f>F97</f>
        <v>0</v>
      </c>
      <c r="G98" s="10">
        <f t="shared" si="40"/>
        <v>0</v>
      </c>
      <c r="H98" s="74">
        <f t="shared" si="34"/>
        <v>2.7666666666666668E-3</v>
      </c>
      <c r="I98" s="10">
        <f t="shared" si="42"/>
        <v>0</v>
      </c>
      <c r="J98" s="10">
        <f t="shared" si="36"/>
        <v>0</v>
      </c>
      <c r="K98" s="10">
        <f>SUM($D$60:D98)+SUM($I$60:I98)+SUM($J$88:J98)</f>
        <v>0</v>
      </c>
    </row>
    <row r="99" spans="1:11" x14ac:dyDescent="0.25">
      <c r="A99" s="1">
        <f t="shared" si="37"/>
        <v>75</v>
      </c>
      <c r="B99" t="s">
        <v>90</v>
      </c>
      <c r="C99" s="1">
        <f t="shared" si="38"/>
        <v>2022</v>
      </c>
      <c r="D99" s="10"/>
      <c r="E99" s="10">
        <f t="shared" si="39"/>
        <v>0</v>
      </c>
      <c r="F99" s="10">
        <f>F98</f>
        <v>0</v>
      </c>
      <c r="G99" s="10">
        <f t="shared" si="40"/>
        <v>0</v>
      </c>
      <c r="H99" s="74">
        <f t="shared" si="34"/>
        <v>2.7666666666666668E-3</v>
      </c>
      <c r="I99" s="10">
        <f>G99*H99</f>
        <v>0</v>
      </c>
      <c r="J99" s="10">
        <f t="shared" si="36"/>
        <v>0</v>
      </c>
      <c r="K99" s="10">
        <f>SUM($D$60:D99)+SUM($I$60:I99)+SUM($J$88:J99)</f>
        <v>0</v>
      </c>
    </row>
    <row r="100" spans="1:11" x14ac:dyDescent="0.25">
      <c r="A100" s="36"/>
      <c r="B100" s="9"/>
      <c r="C100" s="36"/>
      <c r="D100" s="9"/>
      <c r="E100" s="9"/>
      <c r="F100" s="9"/>
      <c r="G100" s="9"/>
      <c r="H100" s="9"/>
      <c r="I100" s="9"/>
      <c r="J100" s="9"/>
      <c r="K100" s="9"/>
    </row>
    <row r="101" spans="1:11" x14ac:dyDescent="0.25">
      <c r="A101" s="1">
        <f>A99+1</f>
        <v>76</v>
      </c>
      <c r="B101" t="str">
        <f>"Total Load Dispatch (Schedule 1) True-Up Adjustment with Interest (Sum Lns. ("&amp;A88&amp;" through "&amp;A99&amp;") x -1.0)"</f>
        <v>Total Load Dispatch (Schedule 1) True-Up Adjustment with Interest (Sum Lns. (64 through 75) x -1.0)</v>
      </c>
      <c r="J101" s="10">
        <f>SUM(J88:J99)*-1</f>
        <v>0</v>
      </c>
    </row>
    <row r="102" spans="1:11" ht="18.75" x14ac:dyDescent="0.25">
      <c r="A102" s="1">
        <f>A101+1</f>
        <v>77</v>
      </c>
      <c r="B102" t="s">
        <v>836</v>
      </c>
      <c r="J102" s="64">
        <f>F112</f>
        <v>0</v>
      </c>
    </row>
    <row r="103" spans="1:11" x14ac:dyDescent="0.25">
      <c r="A103" s="1">
        <f>A102+1</f>
        <v>78</v>
      </c>
      <c r="B103" t="str">
        <f>"Total Interest for Load Dispatch (Schedule 1) (Lns. ("&amp;A101&amp;" - "&amp;A102&amp;"))"</f>
        <v>Total Interest for Load Dispatch (Schedule 1) (Lns. (76 - 77))</v>
      </c>
      <c r="J103" s="10">
        <f>J101-J102</f>
        <v>0</v>
      </c>
    </row>
    <row r="104" spans="1:11" ht="15.75" customHeight="1" x14ac:dyDescent="0.25">
      <c r="A104" s="14"/>
      <c r="B104" s="5"/>
      <c r="C104" s="5"/>
      <c r="D104" s="5"/>
      <c r="E104" s="5"/>
      <c r="F104" s="5"/>
      <c r="G104" s="5"/>
      <c r="H104" s="5"/>
      <c r="I104" s="5"/>
      <c r="J104" s="5"/>
      <c r="K104" s="5"/>
    </row>
    <row r="105" spans="1:11" ht="5.25" customHeight="1" x14ac:dyDescent="0.25"/>
    <row r="106" spans="1:11" ht="5.25" customHeight="1" x14ac:dyDescent="0.25">
      <c r="A106" s="36"/>
      <c r="B106" s="9"/>
      <c r="C106" s="9"/>
      <c r="D106" s="9"/>
      <c r="E106" s="9"/>
      <c r="F106" s="9"/>
      <c r="G106" s="9"/>
      <c r="H106" s="9"/>
      <c r="I106" s="9"/>
      <c r="J106" s="9"/>
      <c r="K106" s="9"/>
    </row>
    <row r="107" spans="1:11" x14ac:dyDescent="0.25">
      <c r="A107" s="22" t="str">
        <f>note</f>
        <v>Notes and Sources:</v>
      </c>
      <c r="E107" s="293" t="s">
        <v>838</v>
      </c>
    </row>
    <row r="108" spans="1:11" ht="18.75" x14ac:dyDescent="0.25">
      <c r="A108" s="23">
        <v>1</v>
      </c>
      <c r="B108" t="s">
        <v>827</v>
      </c>
      <c r="E108" s="293"/>
      <c r="F108" s="140" t="s">
        <v>839</v>
      </c>
    </row>
    <row r="109" spans="1:11" ht="7.5" customHeight="1" x14ac:dyDescent="0.25">
      <c r="A109" s="23"/>
    </row>
    <row r="110" spans="1:11" x14ac:dyDescent="0.25">
      <c r="B110" s="256" t="s">
        <v>1150</v>
      </c>
      <c r="C110" s="210"/>
      <c r="D110" s="210"/>
      <c r="E110" s="10">
        <f>'Actual Attachment H'!I22</f>
        <v>68452712.085517839</v>
      </c>
      <c r="F110" s="10">
        <f>'Actual Schedule 1'!E22</f>
        <v>1135148.3399999999</v>
      </c>
    </row>
    <row r="111" spans="1:11" x14ac:dyDescent="0.25">
      <c r="B111" s="256" t="s">
        <v>1151</v>
      </c>
      <c r="C111" s="210"/>
      <c r="D111" s="210"/>
      <c r="E111" s="142" t="s">
        <v>842</v>
      </c>
      <c r="F111" s="142" t="s">
        <v>842</v>
      </c>
    </row>
    <row r="112" spans="1:11" x14ac:dyDescent="0.25">
      <c r="B112" t="str">
        <f>" (C) True-Up Adjustment ((B) - (C)):"</f>
        <v xml:space="preserve"> (C) True-Up Adjustment ((B) - (C)):</v>
      </c>
      <c r="E112" s="10">
        <f>IF(E111="N/A",0,E111-E110)</f>
        <v>0</v>
      </c>
      <c r="F112" s="10">
        <f>IF(F111="N/A",0,F111-F110)</f>
        <v>0</v>
      </c>
    </row>
    <row r="113" spans="1:11" x14ac:dyDescent="0.25">
      <c r="B113" t="str">
        <f>" (D) Monthly Refunds/Surcharges ((C) / 12.0):"</f>
        <v xml:space="preserve"> (D) Monthly Refunds/Surcharges ((C) / 12.0):</v>
      </c>
      <c r="E113" s="10">
        <f>E112/12</f>
        <v>0</v>
      </c>
      <c r="F113" s="10">
        <f>F112/12</f>
        <v>0</v>
      </c>
    </row>
    <row r="114" spans="1:11" ht="7.5" customHeight="1" x14ac:dyDescent="0.25"/>
    <row r="115" spans="1:11" ht="37.5" customHeight="1" x14ac:dyDescent="0.25">
      <c r="A115" s="23"/>
      <c r="B115" s="265" t="str">
        <f>"Actual net revenue requirement for network transmission from "&amp;'Actual Attachment H'!I1&amp;", line "&amp;'Actual Attachment H'!A22&amp;". Actual net revenue requirement for load dispatch from "&amp;'Actual Schedule 1'!E1&amp;", line "&amp;'Actual Schedule 1'!A22&amp;". Projected net revenue requirements from the rate filings for the true-up year."</f>
        <v>Actual net revenue requirement for network transmission from Attachment H (Actuals), line 6. Actual net revenue requirement for load dispatch from Schedule 1 (Actual), line 9. Projected net revenue requirements from the rate filings for the true-up year.</v>
      </c>
      <c r="C115" s="265"/>
      <c r="D115" s="265"/>
      <c r="E115" s="265"/>
      <c r="F115" s="265"/>
      <c r="G115" s="265"/>
      <c r="H115" s="265"/>
      <c r="I115" s="265"/>
      <c r="J115" s="265"/>
      <c r="K115" s="265"/>
    </row>
    <row r="116" spans="1:11" ht="15.6" customHeight="1" x14ac:dyDescent="0.25">
      <c r="A116" s="23"/>
      <c r="B116" s="253" t="s">
        <v>1146</v>
      </c>
      <c r="C116" s="229"/>
      <c r="D116" s="229"/>
      <c r="E116" s="229"/>
      <c r="F116" s="229"/>
      <c r="G116" s="229"/>
      <c r="H116" s="229"/>
      <c r="I116" s="141"/>
      <c r="J116" s="141"/>
      <c r="K116" s="141"/>
    </row>
    <row r="117" spans="1:11" ht="18.600000000000001" customHeight="1" x14ac:dyDescent="0.25">
      <c r="A117" s="82">
        <v>2</v>
      </c>
      <c r="B117" s="265" t="s">
        <v>840</v>
      </c>
      <c r="C117" s="265"/>
      <c r="D117" s="265"/>
      <c r="E117" s="265"/>
      <c r="F117" s="265"/>
      <c r="G117" s="265"/>
      <c r="H117" s="265"/>
      <c r="I117" s="265"/>
      <c r="J117" s="265"/>
      <c r="K117" s="265"/>
    </row>
    <row r="118" spans="1:11" ht="66" customHeight="1" x14ac:dyDescent="0.25">
      <c r="A118" s="85">
        <v>3</v>
      </c>
      <c r="B118" s="274" t="s">
        <v>997</v>
      </c>
      <c r="C118" s="274"/>
      <c r="D118" s="274"/>
      <c r="E118" s="274"/>
      <c r="F118" s="274"/>
      <c r="G118" s="274"/>
      <c r="H118" s="274"/>
      <c r="I118" s="274"/>
      <c r="J118" s="274"/>
      <c r="K118" s="274"/>
    </row>
    <row r="119" spans="1:11" ht="34.35" customHeight="1" x14ac:dyDescent="0.25">
      <c r="A119" s="85">
        <v>4</v>
      </c>
      <c r="B119" s="274" t="s">
        <v>841</v>
      </c>
      <c r="C119" s="274"/>
      <c r="D119" s="274"/>
      <c r="E119" s="274"/>
      <c r="F119" s="274"/>
      <c r="G119" s="274"/>
      <c r="H119" s="274"/>
      <c r="I119" s="274"/>
      <c r="J119" s="274"/>
      <c r="K119" s="274"/>
    </row>
    <row r="120" spans="1:11" ht="33" customHeight="1" thickBot="1" x14ac:dyDescent="0.3">
      <c r="A120" s="24"/>
      <c r="B120" s="4"/>
      <c r="C120" s="4"/>
      <c r="D120" s="4"/>
      <c r="E120" s="4"/>
      <c r="F120" s="4"/>
      <c r="G120" s="4"/>
      <c r="H120" s="4"/>
      <c r="I120" s="4"/>
      <c r="J120" s="4"/>
      <c r="K120" s="4"/>
    </row>
    <row r="121" spans="1:11" ht="5.25" customHeight="1" thickTop="1" x14ac:dyDescent="0.25"/>
  </sheetData>
  <mergeCells count="5">
    <mergeCell ref="B119:K119"/>
    <mergeCell ref="B118:K118"/>
    <mergeCell ref="E107:E108"/>
    <mergeCell ref="B115:K115"/>
    <mergeCell ref="B117:K117"/>
  </mergeCells>
  <phoneticPr fontId="7" type="noConversion"/>
  <pageMargins left="0.7" right="0.7" top="0.75" bottom="0.75" header="0.3" footer="0.3"/>
  <pageSetup scale="59" fitToHeight="2" orientation="portrait" horizontalDpi="1200" verticalDpi="1200" r:id="rId1"/>
  <headerFooter>
    <oddFooter>&amp;L&amp;6{W0327924.2 }</oddFooter>
  </headerFooter>
  <rowBreaks count="1" manualBreakCount="1">
    <brk id="71" max="16383" man="1"/>
  </rowBreaks>
  <ignoredErrors>
    <ignoredError sqref="F19:F26 F28:F36 F48:F50 F46 F44:F45 F47 F61 F66:F97" 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36"/>
  <sheetViews>
    <sheetView workbookViewId="0"/>
  </sheetViews>
  <sheetFormatPr defaultRowHeight="15.75" x14ac:dyDescent="0.25"/>
  <cols>
    <col min="1" max="1" width="5" customWidth="1"/>
    <col min="3" max="3" width="54.125" customWidth="1"/>
    <col min="4" max="4" width="30.5" customWidth="1"/>
    <col min="5" max="5" width="15.75" customWidth="1"/>
    <col min="7" max="7" width="10.25" bestFit="1" customWidth="1"/>
    <col min="8" max="8" width="10.75" bestFit="1" customWidth="1"/>
    <col min="9" max="9" width="10.5" bestFit="1" customWidth="1"/>
  </cols>
  <sheetData>
    <row r="1" spans="1:5" x14ac:dyDescent="0.25">
      <c r="A1" s="6" t="str">
        <f>epe</f>
        <v>El Paso Electric Company</v>
      </c>
      <c r="E1" s="8" t="s">
        <v>1062</v>
      </c>
    </row>
    <row r="2" spans="1:5" x14ac:dyDescent="0.25">
      <c r="A2" t="str">
        <f>frtp</f>
        <v>Formula Rate Template (Projected)</v>
      </c>
    </row>
    <row r="3" spans="1:5" x14ac:dyDescent="0.25">
      <c r="A3" t="s">
        <v>1063</v>
      </c>
    </row>
    <row r="4" spans="1:5" x14ac:dyDescent="0.25">
      <c r="A4" t="str">
        <f>"12 Months Ended December 31, "&amp;YEAR('A1 (FF1 Inputs)'!$E$13)</f>
        <v>12 Months Ended December 31, 2022</v>
      </c>
    </row>
    <row r="5" spans="1:5" ht="5.25" customHeight="1" thickBot="1" x14ac:dyDescent="0.3">
      <c r="A5" s="4"/>
      <c r="B5" s="4"/>
      <c r="C5" s="4"/>
      <c r="D5" s="4"/>
      <c r="E5" s="4"/>
    </row>
    <row r="6" spans="1:5" ht="5.25" customHeight="1" thickTop="1" x14ac:dyDescent="0.25"/>
    <row r="7" spans="1:5" s="40" customFormat="1" ht="31.5" x14ac:dyDescent="0.25">
      <c r="A7" s="40" t="str">
        <f>ln</f>
        <v>Line No.</v>
      </c>
      <c r="B7" s="40" t="s">
        <v>843</v>
      </c>
      <c r="C7" s="40" t="s">
        <v>2</v>
      </c>
      <c r="D7" s="40" t="s">
        <v>3</v>
      </c>
      <c r="E7" s="40" t="s">
        <v>844</v>
      </c>
    </row>
    <row r="8" spans="1:5" s="40" customFormat="1" x14ac:dyDescent="0.25">
      <c r="B8" s="40" t="s">
        <v>7</v>
      </c>
      <c r="C8" s="40" t="s">
        <v>8</v>
      </c>
      <c r="D8" s="40" t="s">
        <v>9</v>
      </c>
      <c r="E8" s="40" t="s">
        <v>10</v>
      </c>
    </row>
    <row r="9" spans="1:5" ht="5.25" customHeight="1" x14ac:dyDescent="0.25">
      <c r="A9" s="5"/>
      <c r="B9" s="5"/>
      <c r="C9" s="5"/>
      <c r="D9" s="5"/>
      <c r="E9" s="5"/>
    </row>
    <row r="10" spans="1:5" ht="5.25" customHeight="1" x14ac:dyDescent="0.25"/>
    <row r="11" spans="1:5" x14ac:dyDescent="0.25">
      <c r="B11" s="6"/>
    </row>
    <row r="12" spans="1:5" x14ac:dyDescent="0.25">
      <c r="A12" s="1">
        <f>1</f>
        <v>1</v>
      </c>
      <c r="B12" s="1"/>
      <c r="C12" t="s">
        <v>1064</v>
      </c>
      <c r="D12" t="str">
        <f>'A1 (FF1 Inputs)'!$E$1&amp;", Ln. "&amp;'A1 (FF1 Inputs)'!A80</f>
        <v>Worksheet A1, Ln. 51</v>
      </c>
      <c r="E12" s="10">
        <f>'Actual Schedule 1'!E22</f>
        <v>1135148.3399999999</v>
      </c>
    </row>
    <row r="13" spans="1:5" x14ac:dyDescent="0.25">
      <c r="A13" s="1"/>
      <c r="B13" s="1"/>
      <c r="C13" s="7"/>
      <c r="E13" s="10"/>
    </row>
    <row r="14" spans="1:5" x14ac:dyDescent="0.25">
      <c r="A14" s="1">
        <f>A12+1</f>
        <v>2</v>
      </c>
      <c r="B14" s="1"/>
      <c r="C14" t="s">
        <v>825</v>
      </c>
      <c r="D14" t="s">
        <v>1065</v>
      </c>
      <c r="E14" s="10">
        <f>'P15 (True-Up Adjustment)'!J101</f>
        <v>0</v>
      </c>
    </row>
    <row r="15" spans="1:5" x14ac:dyDescent="0.25">
      <c r="A15" s="1"/>
      <c r="B15" s="1"/>
      <c r="E15" s="10"/>
    </row>
    <row r="16" spans="1:5" x14ac:dyDescent="0.25">
      <c r="A16" s="1">
        <f>A14+1</f>
        <v>3</v>
      </c>
      <c r="B16" s="1"/>
      <c r="C16" t="s">
        <v>1066</v>
      </c>
      <c r="D16" t="s">
        <v>1067</v>
      </c>
      <c r="E16" s="19">
        <f>E12+E14</f>
        <v>1135148.3399999999</v>
      </c>
    </row>
    <row r="17" spans="1:5" x14ac:dyDescent="0.25">
      <c r="B17" s="1"/>
    </row>
    <row r="18" spans="1:5" x14ac:dyDescent="0.25">
      <c r="A18" s="1">
        <f>A16+1</f>
        <v>4</v>
      </c>
      <c r="B18" s="1"/>
      <c r="C18" t="s">
        <v>852</v>
      </c>
      <c r="D18" t="str">
        <f>'A2 (Divisor)'!J1&amp;", Ln. "&amp;'A2 (Divisor)'!A27</f>
        <v>Worksheet A2, Ln. 16</v>
      </c>
      <c r="E18" s="70">
        <f>'P1 (Divisor)'!E27</f>
        <v>2669790.7600812302</v>
      </c>
    </row>
    <row r="19" spans="1:5" x14ac:dyDescent="0.25">
      <c r="A19" s="1"/>
      <c r="B19" s="1"/>
    </row>
    <row r="20" spans="1:5" x14ac:dyDescent="0.25">
      <c r="A20" s="1"/>
      <c r="B20" s="1"/>
      <c r="C20" s="12" t="s">
        <v>19</v>
      </c>
    </row>
    <row r="21" spans="1:5" x14ac:dyDescent="0.25">
      <c r="A21" s="1">
        <f>A18+1</f>
        <v>5</v>
      </c>
      <c r="B21" s="1"/>
      <c r="C21" s="210" t="s">
        <v>1123</v>
      </c>
      <c r="D21" s="210" t="str">
        <f>"Lns. ("&amp;A16&amp;" / "&amp;A18&amp;")*1,000"</f>
        <v>Lns. (3 / 4)*1,000</v>
      </c>
      <c r="E21" s="233">
        <f>ROUND(E16/E18*1000,2)</f>
        <v>425.18</v>
      </c>
    </row>
    <row r="22" spans="1:5" x14ac:dyDescent="0.25">
      <c r="A22" s="1">
        <f>A21+1</f>
        <v>6</v>
      </c>
      <c r="B22" s="1"/>
      <c r="C22" s="210" t="s">
        <v>1126</v>
      </c>
      <c r="D22" s="210" t="str">
        <f>"Ln. "&amp;$A$21&amp;" / 12.0 Months"</f>
        <v>Ln. 5 / 12.0 Months</v>
      </c>
      <c r="E22" s="233">
        <f>ROUND(E21/12,2)</f>
        <v>35.43</v>
      </c>
    </row>
    <row r="23" spans="1:5" x14ac:dyDescent="0.25">
      <c r="A23" s="1">
        <f t="shared" ref="A23:A27" si="0">A22+1</f>
        <v>7</v>
      </c>
      <c r="B23" s="1"/>
      <c r="C23" s="210" t="s">
        <v>1127</v>
      </c>
      <c r="D23" s="210" t="str">
        <f>"Ln. "&amp;$A$21&amp;" / 52.0 Weeks"</f>
        <v>Ln. 5 / 52.0 Weeks</v>
      </c>
      <c r="E23" s="233">
        <f>ROUND(E21/52,2)</f>
        <v>8.18</v>
      </c>
    </row>
    <row r="24" spans="1:5" x14ac:dyDescent="0.25">
      <c r="A24" s="1">
        <f t="shared" si="0"/>
        <v>8</v>
      </c>
      <c r="B24" s="1"/>
      <c r="C24" s="210" t="s">
        <v>1128</v>
      </c>
      <c r="D24" s="210" t="str">
        <f>"Ln. "&amp;$A$23&amp;" / 6.0 Days"</f>
        <v>Ln. 7 / 6.0 Days</v>
      </c>
      <c r="E24" s="233">
        <f>ROUND(E23/6,2)</f>
        <v>1.36</v>
      </c>
    </row>
    <row r="25" spans="1:5" x14ac:dyDescent="0.25">
      <c r="A25" s="1">
        <f t="shared" si="0"/>
        <v>9</v>
      </c>
      <c r="B25" s="1"/>
      <c r="C25" s="210" t="s">
        <v>1129</v>
      </c>
      <c r="D25" s="210" t="str">
        <f>"Ln. "&amp;$A$23&amp;" / 7.0 Days"</f>
        <v>Ln. 7 / 7.0 Days</v>
      </c>
      <c r="E25" s="233">
        <f>ROUND(E23/7,2)</f>
        <v>1.17</v>
      </c>
    </row>
    <row r="26" spans="1:5" x14ac:dyDescent="0.25">
      <c r="A26" s="1">
        <f t="shared" si="0"/>
        <v>10</v>
      </c>
      <c r="B26" s="1"/>
      <c r="C26" s="210" t="s">
        <v>20</v>
      </c>
      <c r="D26" s="210" t="str">
        <f>"Ln. "&amp;$A$24&amp;" / 16.0 Hours"</f>
        <v>Ln. 8 / 16.0 Hours</v>
      </c>
      <c r="E26" s="234">
        <f>ROUND(E24/16,4)</f>
        <v>8.5000000000000006E-2</v>
      </c>
    </row>
    <row r="27" spans="1:5" x14ac:dyDescent="0.25">
      <c r="A27" s="1">
        <f t="shared" si="0"/>
        <v>11</v>
      </c>
      <c r="B27" s="1"/>
      <c r="C27" s="210" t="s">
        <v>21</v>
      </c>
      <c r="D27" s="210" t="str">
        <f>"Ln. "&amp;$A$25&amp;" / 24.0 Hours"</f>
        <v>Ln. 9 / 24.0 Hours</v>
      </c>
      <c r="E27" s="234">
        <f>ROUND(E25/24,4)</f>
        <v>4.8800000000000003E-2</v>
      </c>
    </row>
    <row r="28" spans="1:5" ht="5.25" customHeight="1" thickBot="1" x14ac:dyDescent="0.3">
      <c r="A28" s="4"/>
      <c r="B28" s="24"/>
      <c r="C28" s="4"/>
      <c r="D28" s="4"/>
      <c r="E28" s="4"/>
    </row>
    <row r="29" spans="1:5" ht="5.25" customHeight="1" thickTop="1" x14ac:dyDescent="0.25">
      <c r="B29" s="1"/>
    </row>
    <row r="30" spans="1:5" x14ac:dyDescent="0.25">
      <c r="A30" s="6"/>
      <c r="B30" s="1"/>
    </row>
    <row r="31" spans="1:5" x14ac:dyDescent="0.25">
      <c r="B31" s="1"/>
    </row>
    <row r="32" spans="1:5" x14ac:dyDescent="0.25">
      <c r="B32" s="1"/>
    </row>
    <row r="33" spans="2:2" x14ac:dyDescent="0.25">
      <c r="B33" s="1"/>
    </row>
    <row r="34" spans="2:2" x14ac:dyDescent="0.25">
      <c r="B34" s="1"/>
    </row>
    <row r="35" spans="2:2" x14ac:dyDescent="0.25">
      <c r="B35" s="1"/>
    </row>
    <row r="36" spans="2:2" x14ac:dyDescent="0.25">
      <c r="B36" s="1"/>
    </row>
  </sheetData>
  <pageMargins left="0.7" right="0.7" top="0.75" bottom="0.75" header="0.3" footer="0.3"/>
  <pageSetup orientation="landscape" horizontalDpi="1200" verticalDpi="1200" r:id="rId1"/>
  <headerFooter>
    <oddFooter>&amp;L&amp;6{W0327924.2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O64"/>
  <sheetViews>
    <sheetView workbookViewId="0"/>
  </sheetViews>
  <sheetFormatPr defaultRowHeight="15.75" x14ac:dyDescent="0.25"/>
  <cols>
    <col min="1" max="1" width="4.625" style="1" customWidth="1"/>
    <col min="2" max="2" width="9.25" style="1" customWidth="1"/>
    <col min="3" max="3" width="7.25" style="1" customWidth="1"/>
    <col min="4" max="4" width="49.25" customWidth="1"/>
    <col min="5" max="5" width="30.5" customWidth="1"/>
    <col min="6" max="10" width="13.625" customWidth="1"/>
    <col min="11" max="11" width="3.625" customWidth="1"/>
    <col min="12" max="12" width="6.25" customWidth="1"/>
    <col min="14" max="14" width="3.625" customWidth="1"/>
    <col min="15" max="15" width="13.625" customWidth="1"/>
  </cols>
  <sheetData>
    <row r="1" spans="1:15" x14ac:dyDescent="0.25">
      <c r="A1" s="6" t="str">
        <f>epe</f>
        <v>El Paso Electric Company</v>
      </c>
      <c r="B1"/>
      <c r="C1"/>
      <c r="O1" s="8" t="s">
        <v>371</v>
      </c>
    </row>
    <row r="2" spans="1:15" x14ac:dyDescent="0.25">
      <c r="A2" t="str">
        <f>frta</f>
        <v>Formula Rate Template (Actuals)</v>
      </c>
      <c r="B2"/>
      <c r="C2"/>
      <c r="O2" s="8"/>
    </row>
    <row r="3" spans="1:15" x14ac:dyDescent="0.25">
      <c r="A3" t="s">
        <v>14</v>
      </c>
      <c r="B3"/>
      <c r="C3"/>
    </row>
    <row r="4" spans="1:15" x14ac:dyDescent="0.25">
      <c r="A4" t="str">
        <f>"12 Months Ended December 31, "&amp;YEAR('A1 (FF1 Inputs)'!$E$12)</f>
        <v>12 Months Ended December 31, 2020</v>
      </c>
      <c r="B4"/>
      <c r="C4"/>
    </row>
    <row r="5" spans="1:15" ht="5.25" customHeight="1" thickBot="1" x14ac:dyDescent="0.3">
      <c r="A5" s="4"/>
      <c r="B5" s="4"/>
      <c r="C5" s="4"/>
      <c r="D5" s="4"/>
      <c r="E5" s="4"/>
      <c r="F5" s="4"/>
      <c r="G5" s="4"/>
      <c r="H5" s="4"/>
      <c r="I5" s="4"/>
      <c r="J5" s="4"/>
      <c r="K5" s="4"/>
      <c r="L5" s="4"/>
      <c r="M5" s="4"/>
      <c r="N5" s="4"/>
      <c r="O5" s="4"/>
    </row>
    <row r="6" spans="1:15" ht="5.25" customHeight="1" thickTop="1" x14ac:dyDescent="0.25">
      <c r="A6"/>
      <c r="B6"/>
      <c r="C6"/>
    </row>
    <row r="7" spans="1:15" s="3" customFormat="1" ht="33" customHeight="1" x14ac:dyDescent="0.25">
      <c r="A7" s="266" t="s">
        <v>1</v>
      </c>
      <c r="B7" s="266" t="s">
        <v>280</v>
      </c>
      <c r="C7" s="266" t="s">
        <v>281</v>
      </c>
      <c r="D7" s="266" t="s">
        <v>2</v>
      </c>
      <c r="E7" s="266" t="s">
        <v>3</v>
      </c>
      <c r="F7" s="266" t="s">
        <v>323</v>
      </c>
      <c r="G7" s="266" t="s">
        <v>324</v>
      </c>
      <c r="H7" s="266" t="s">
        <v>282</v>
      </c>
      <c r="I7" s="266" t="s">
        <v>62</v>
      </c>
      <c r="J7" s="266" t="str">
        <f>tot</f>
        <v>Total Company Amount</v>
      </c>
      <c r="L7" s="269" t="s">
        <v>681</v>
      </c>
      <c r="M7" s="270"/>
      <c r="O7" s="266" t="str">
        <f>ferc</f>
        <v>Network Transmission</v>
      </c>
    </row>
    <row r="8" spans="1:15" s="3" customFormat="1" ht="33" customHeight="1" x14ac:dyDescent="0.25">
      <c r="A8" s="266"/>
      <c r="B8" s="266"/>
      <c r="C8" s="266"/>
      <c r="D8" s="266"/>
      <c r="E8" s="266"/>
      <c r="F8" s="266"/>
      <c r="G8" s="266"/>
      <c r="H8" s="266"/>
      <c r="I8" s="266"/>
      <c r="J8" s="266"/>
      <c r="L8" s="3" t="s">
        <v>5</v>
      </c>
      <c r="M8" s="3" t="s">
        <v>6</v>
      </c>
      <c r="O8" s="266"/>
    </row>
    <row r="9" spans="1:15" s="1" customFormat="1" x14ac:dyDescent="0.25">
      <c r="A9" s="266"/>
      <c r="B9" s="1" t="s">
        <v>7</v>
      </c>
      <c r="C9" s="1" t="s">
        <v>8</v>
      </c>
      <c r="D9" s="1" t="s">
        <v>9</v>
      </c>
      <c r="E9" s="1" t="s">
        <v>10</v>
      </c>
      <c r="F9" s="1" t="s">
        <v>11</v>
      </c>
      <c r="G9" s="1" t="s">
        <v>12</v>
      </c>
      <c r="H9" s="1" t="s">
        <v>91</v>
      </c>
      <c r="I9" s="1" t="s">
        <v>92</v>
      </c>
      <c r="J9" s="1" t="str">
        <f>"[i]=sum("&amp;F9&amp;"-"&amp;I9&amp;")"</f>
        <v>[i]=sum([e]-[h])</v>
      </c>
      <c r="L9" s="1" t="s">
        <v>94</v>
      </c>
      <c r="M9" s="1" t="s">
        <v>95</v>
      </c>
      <c r="O9" s="1" t="s">
        <v>308</v>
      </c>
    </row>
    <row r="10" spans="1:15" ht="5.25" customHeight="1" x14ac:dyDescent="0.25">
      <c r="A10" s="5"/>
      <c r="B10" s="5"/>
      <c r="C10" s="5"/>
      <c r="D10" s="5"/>
      <c r="E10" s="5"/>
      <c r="F10" s="5"/>
      <c r="G10" s="5"/>
      <c r="H10" s="5"/>
      <c r="I10" s="5"/>
      <c r="J10" s="5"/>
      <c r="K10" s="5"/>
      <c r="L10" s="5"/>
      <c r="M10" s="5"/>
      <c r="N10" s="5"/>
      <c r="O10" s="5"/>
    </row>
    <row r="11" spans="1:15" ht="5.25" customHeight="1" x14ac:dyDescent="0.25">
      <c r="A11"/>
      <c r="B11"/>
      <c r="C11"/>
    </row>
    <row r="12" spans="1:15" s="6" customFormat="1" ht="18.75" x14ac:dyDescent="0.25">
      <c r="D12" s="21" t="s">
        <v>682</v>
      </c>
    </row>
    <row r="13" spans="1:15" x14ac:dyDescent="0.25">
      <c r="A13" s="1">
        <v>1</v>
      </c>
      <c r="B13" s="271" t="s">
        <v>305</v>
      </c>
      <c r="C13" s="271"/>
      <c r="D13" s="7" t="s">
        <v>284</v>
      </c>
      <c r="E13" t="s">
        <v>309</v>
      </c>
      <c r="J13" s="37">
        <v>12000</v>
      </c>
      <c r="L13" s="1" t="s">
        <v>288</v>
      </c>
      <c r="M13" s="27">
        <f>VLOOKUP(L13,'A22 (Allocation Factors)'!$D:$F,3,0)</f>
        <v>0.20882221657345243</v>
      </c>
      <c r="O13" s="10">
        <f>J13*M13</f>
        <v>2505.8665988814291</v>
      </c>
    </row>
    <row r="14" spans="1:15" x14ac:dyDescent="0.25">
      <c r="A14" s="1">
        <f>A13+1</f>
        <v>2</v>
      </c>
      <c r="B14" s="271" t="s">
        <v>305</v>
      </c>
      <c r="C14" s="271"/>
      <c r="D14" s="7" t="s">
        <v>285</v>
      </c>
      <c r="E14" t="s">
        <v>309</v>
      </c>
      <c r="J14" s="37">
        <v>0</v>
      </c>
      <c r="L14" s="1" t="s">
        <v>29</v>
      </c>
      <c r="M14" s="27">
        <f>VLOOKUP(L14,'A22 (Allocation Factors)'!$D:$F,3,0)</f>
        <v>0</v>
      </c>
      <c r="O14" s="10">
        <f>J14*M14</f>
        <v>0</v>
      </c>
    </row>
    <row r="15" spans="1:15" x14ac:dyDescent="0.25">
      <c r="A15" s="1">
        <f t="shared" ref="A15:A21" si="0">A14+1</f>
        <v>3</v>
      </c>
      <c r="B15" s="271" t="s">
        <v>305</v>
      </c>
      <c r="C15" s="271"/>
      <c r="D15" s="7" t="s">
        <v>286</v>
      </c>
      <c r="E15" t="s">
        <v>309</v>
      </c>
      <c r="J15" s="37">
        <v>0</v>
      </c>
      <c r="L15" s="1" t="s">
        <v>16</v>
      </c>
      <c r="M15" s="27">
        <f>VLOOKUP(L15,'A22 (Allocation Factors)'!$D:$F,3,0)</f>
        <v>0.99107572717159387</v>
      </c>
      <c r="O15" s="10">
        <f t="shared" ref="O15:O20" si="1">J15*M15</f>
        <v>0</v>
      </c>
    </row>
    <row r="16" spans="1:15" x14ac:dyDescent="0.25">
      <c r="A16" s="1">
        <f t="shared" si="0"/>
        <v>4</v>
      </c>
      <c r="B16" s="271" t="s">
        <v>305</v>
      </c>
      <c r="C16" s="271"/>
      <c r="D16" s="7" t="s">
        <v>287</v>
      </c>
      <c r="E16" t="s">
        <v>309</v>
      </c>
      <c r="J16" s="37">
        <v>0</v>
      </c>
      <c r="L16" s="1" t="s">
        <v>29</v>
      </c>
      <c r="M16" s="27">
        <f>VLOOKUP(L16,'A22 (Allocation Factors)'!$D:$F,3,0)</f>
        <v>0</v>
      </c>
      <c r="O16" s="10">
        <f t="shared" si="1"/>
        <v>0</v>
      </c>
    </row>
    <row r="17" spans="1:15" x14ac:dyDescent="0.25">
      <c r="A17" s="1">
        <f t="shared" si="0"/>
        <v>5</v>
      </c>
      <c r="B17" s="271" t="s">
        <v>306</v>
      </c>
      <c r="C17" s="271"/>
      <c r="D17" s="7" t="s">
        <v>284</v>
      </c>
      <c r="E17" t="s">
        <v>309</v>
      </c>
      <c r="J17" s="37">
        <v>1308743</v>
      </c>
      <c r="L17" s="1" t="s">
        <v>288</v>
      </c>
      <c r="M17" s="27">
        <f>VLOOKUP(L17,'A22 (Allocation Factors)'!$D:$F,3,0)</f>
        <v>0.20882221657345243</v>
      </c>
      <c r="O17" s="10">
        <f t="shared" si="1"/>
        <v>273294.61418498983</v>
      </c>
    </row>
    <row r="18" spans="1:15" x14ac:dyDescent="0.25">
      <c r="A18" s="1">
        <f t="shared" si="0"/>
        <v>6</v>
      </c>
      <c r="B18" s="271" t="s">
        <v>306</v>
      </c>
      <c r="C18" s="271"/>
      <c r="D18" s="7" t="s">
        <v>285</v>
      </c>
      <c r="E18" t="s">
        <v>309</v>
      </c>
      <c r="J18" s="37">
        <v>0</v>
      </c>
      <c r="L18" s="1" t="s">
        <v>29</v>
      </c>
      <c r="M18" s="27">
        <f>VLOOKUP(L18,'A22 (Allocation Factors)'!$D:$F,3,0)</f>
        <v>0</v>
      </c>
      <c r="O18" s="10">
        <f t="shared" si="1"/>
        <v>0</v>
      </c>
    </row>
    <row r="19" spans="1:15" x14ac:dyDescent="0.25">
      <c r="A19" s="1">
        <f t="shared" si="0"/>
        <v>7</v>
      </c>
      <c r="B19" s="271" t="s">
        <v>306</v>
      </c>
      <c r="C19" s="271"/>
      <c r="D19" s="7" t="s">
        <v>286</v>
      </c>
      <c r="E19" t="s">
        <v>309</v>
      </c>
      <c r="J19" s="37">
        <v>49913.8</v>
      </c>
      <c r="L19" s="209" t="s">
        <v>16</v>
      </c>
      <c r="M19" s="27">
        <f>VLOOKUP(L19,'A22 (Allocation Factors)'!$D:$F,3,0)</f>
        <v>0.99107572717159387</v>
      </c>
      <c r="O19" s="10">
        <f t="shared" si="1"/>
        <v>49468.355630897502</v>
      </c>
    </row>
    <row r="20" spans="1:15" x14ac:dyDescent="0.25">
      <c r="A20" s="1">
        <f t="shared" si="0"/>
        <v>8</v>
      </c>
      <c r="B20" s="271" t="s">
        <v>306</v>
      </c>
      <c r="C20" s="271"/>
      <c r="D20" s="7" t="s">
        <v>287</v>
      </c>
      <c r="E20" t="s">
        <v>309</v>
      </c>
      <c r="J20" s="20">
        <v>1735355</v>
      </c>
      <c r="L20" s="1" t="s">
        <v>29</v>
      </c>
      <c r="M20" s="27">
        <f>VLOOKUP(L20,'A22 (Allocation Factors)'!$D:$F,3,0)</f>
        <v>0</v>
      </c>
      <c r="O20" s="10">
        <f t="shared" si="1"/>
        <v>0</v>
      </c>
    </row>
    <row r="21" spans="1:15" s="6" customFormat="1" x14ac:dyDescent="0.25">
      <c r="A21" s="16">
        <f t="shared" si="0"/>
        <v>9</v>
      </c>
      <c r="B21" s="16"/>
      <c r="D21" s="6" t="s">
        <v>302</v>
      </c>
      <c r="E21" s="6" t="str">
        <f>"Sum Lns. ("&amp;A13&amp;" through "&amp;A20&amp;")"</f>
        <v>Sum Lns. (1 through 8)</v>
      </c>
      <c r="J21" s="28">
        <f>SUM(J13:J20)</f>
        <v>3106011.8</v>
      </c>
      <c r="O21" s="28">
        <f>SUM(O13:O20)</f>
        <v>325268.83641476877</v>
      </c>
    </row>
    <row r="22" spans="1:15" x14ac:dyDescent="0.25">
      <c r="C22"/>
    </row>
    <row r="23" spans="1:15" s="6" customFormat="1" ht="18.75" x14ac:dyDescent="0.25">
      <c r="A23" s="16"/>
      <c r="B23" s="16"/>
      <c r="D23" s="21" t="s">
        <v>1141</v>
      </c>
    </row>
    <row r="24" spans="1:15" x14ac:dyDescent="0.25">
      <c r="A24" s="1">
        <f>A21+1</f>
        <v>10</v>
      </c>
      <c r="B24" s="1" t="s">
        <v>18</v>
      </c>
      <c r="C24" s="1" t="s">
        <v>301</v>
      </c>
      <c r="D24" s="7" t="s">
        <v>289</v>
      </c>
      <c r="E24" s="15" t="s">
        <v>310</v>
      </c>
      <c r="F24" s="37">
        <v>0</v>
      </c>
      <c r="G24" s="37">
        <v>153043.35</v>
      </c>
      <c r="H24" s="37">
        <v>0</v>
      </c>
      <c r="I24" s="37">
        <v>0</v>
      </c>
      <c r="J24" s="10">
        <f>SUM(F24:I24)</f>
        <v>153043.35</v>
      </c>
    </row>
    <row r="25" spans="1:15" x14ac:dyDescent="0.25">
      <c r="A25" s="1">
        <f>A24+1</f>
        <v>11</v>
      </c>
      <c r="B25" s="1" t="s">
        <v>295</v>
      </c>
      <c r="C25" s="1" t="s">
        <v>301</v>
      </c>
      <c r="D25" s="7" t="s">
        <v>289</v>
      </c>
      <c r="E25" s="15" t="s">
        <v>310</v>
      </c>
      <c r="F25" s="37">
        <v>0</v>
      </c>
      <c r="G25" s="37">
        <v>0</v>
      </c>
      <c r="H25" s="37">
        <v>12008.86</v>
      </c>
      <c r="I25" s="37">
        <v>0</v>
      </c>
      <c r="J25" s="10">
        <f t="shared" ref="J25:J35" si="2">SUM(F25:I25)</f>
        <v>12008.86</v>
      </c>
    </row>
    <row r="26" spans="1:15" x14ac:dyDescent="0.25">
      <c r="A26" s="1">
        <f t="shared" ref="A26:A36" si="3">A25+1</f>
        <v>12</v>
      </c>
      <c r="B26" s="1" t="s">
        <v>18</v>
      </c>
      <c r="C26" s="1" t="s">
        <v>296</v>
      </c>
      <c r="D26" s="7" t="s">
        <v>290</v>
      </c>
      <c r="E26" s="15" t="s">
        <v>310</v>
      </c>
      <c r="F26" s="37">
        <v>12350801.209999997</v>
      </c>
      <c r="G26" s="37">
        <v>0</v>
      </c>
      <c r="H26" s="37">
        <v>0</v>
      </c>
      <c r="I26" s="37">
        <v>0</v>
      </c>
      <c r="J26" s="10">
        <f>SUM(F26:I26)</f>
        <v>12350801.209999997</v>
      </c>
    </row>
    <row r="27" spans="1:15" x14ac:dyDescent="0.25">
      <c r="A27" s="1">
        <f t="shared" si="3"/>
        <v>13</v>
      </c>
      <c r="B27" s="1" t="s">
        <v>295</v>
      </c>
      <c r="C27" s="1" t="s">
        <v>296</v>
      </c>
      <c r="D27" s="7" t="s">
        <v>290</v>
      </c>
      <c r="E27" s="15" t="s">
        <v>310</v>
      </c>
      <c r="F27" s="37">
        <v>0</v>
      </c>
      <c r="G27" s="37">
        <v>0</v>
      </c>
      <c r="H27" s="37">
        <v>800343.59000000008</v>
      </c>
      <c r="I27" s="37">
        <v>0</v>
      </c>
      <c r="J27" s="10">
        <f t="shared" si="2"/>
        <v>800343.59000000008</v>
      </c>
    </row>
    <row r="28" spans="1:15" x14ac:dyDescent="0.25">
      <c r="A28" s="1">
        <f t="shared" si="3"/>
        <v>14</v>
      </c>
      <c r="B28" s="1" t="s">
        <v>18</v>
      </c>
      <c r="C28" s="1" t="s">
        <v>297</v>
      </c>
      <c r="D28" s="7" t="s">
        <v>291</v>
      </c>
      <c r="E28" s="15" t="s">
        <v>310</v>
      </c>
      <c r="F28" s="37">
        <v>0</v>
      </c>
      <c r="G28" s="37">
        <v>0</v>
      </c>
      <c r="H28" s="37">
        <v>0</v>
      </c>
      <c r="I28" s="37">
        <v>0</v>
      </c>
      <c r="J28" s="10">
        <f t="shared" si="2"/>
        <v>0</v>
      </c>
    </row>
    <row r="29" spans="1:15" x14ac:dyDescent="0.25">
      <c r="A29" s="1">
        <f t="shared" si="3"/>
        <v>15</v>
      </c>
      <c r="B29" s="1" t="s">
        <v>295</v>
      </c>
      <c r="C29" s="1" t="s">
        <v>297</v>
      </c>
      <c r="D29" s="7" t="s">
        <v>291</v>
      </c>
      <c r="E29" s="15" t="s">
        <v>310</v>
      </c>
      <c r="F29" s="37">
        <v>0</v>
      </c>
      <c r="G29" s="37">
        <v>0</v>
      </c>
      <c r="H29" s="37">
        <v>0</v>
      </c>
      <c r="I29" s="37">
        <v>0</v>
      </c>
      <c r="J29" s="10">
        <f t="shared" si="2"/>
        <v>0</v>
      </c>
    </row>
    <row r="30" spans="1:15" x14ac:dyDescent="0.25">
      <c r="A30" s="1">
        <f t="shared" si="3"/>
        <v>16</v>
      </c>
      <c r="B30" s="1" t="s">
        <v>294</v>
      </c>
      <c r="C30" s="1" t="s">
        <v>298</v>
      </c>
      <c r="D30" s="7" t="s">
        <v>292</v>
      </c>
      <c r="E30" s="15" t="s">
        <v>310</v>
      </c>
      <c r="F30" s="37">
        <v>8458326.7900000028</v>
      </c>
      <c r="G30" s="37">
        <v>0</v>
      </c>
      <c r="H30" s="37">
        <v>0</v>
      </c>
      <c r="I30" s="37">
        <v>0</v>
      </c>
      <c r="J30" s="10">
        <f t="shared" si="2"/>
        <v>8458326.7900000028</v>
      </c>
    </row>
    <row r="31" spans="1:15" x14ac:dyDescent="0.25">
      <c r="A31" s="1">
        <f t="shared" si="3"/>
        <v>17</v>
      </c>
      <c r="B31" s="1" t="s">
        <v>295</v>
      </c>
      <c r="C31" s="1" t="s">
        <v>298</v>
      </c>
      <c r="D31" s="7" t="s">
        <v>292</v>
      </c>
      <c r="E31" s="15" t="s">
        <v>310</v>
      </c>
      <c r="F31" s="37">
        <v>0</v>
      </c>
      <c r="G31" s="37">
        <v>0</v>
      </c>
      <c r="H31" s="37">
        <v>383596.85</v>
      </c>
      <c r="I31" s="37">
        <v>0</v>
      </c>
      <c r="J31" s="10">
        <f t="shared" si="2"/>
        <v>383596.85</v>
      </c>
    </row>
    <row r="32" spans="1:15" x14ac:dyDescent="0.25">
      <c r="A32" s="1">
        <f t="shared" si="3"/>
        <v>18</v>
      </c>
      <c r="B32" s="1" t="s">
        <v>294</v>
      </c>
      <c r="C32" s="1" t="s">
        <v>299</v>
      </c>
      <c r="D32" s="7" t="s">
        <v>293</v>
      </c>
      <c r="E32" s="15" t="s">
        <v>310</v>
      </c>
      <c r="F32" s="37">
        <v>2221995.0700000003</v>
      </c>
      <c r="G32" s="37">
        <v>0</v>
      </c>
      <c r="H32" s="37">
        <v>0</v>
      </c>
      <c r="I32" s="37">
        <v>0</v>
      </c>
      <c r="J32" s="10">
        <f t="shared" si="2"/>
        <v>2221995.0700000003</v>
      </c>
    </row>
    <row r="33" spans="1:15" x14ac:dyDescent="0.25">
      <c r="A33" s="1">
        <f t="shared" si="3"/>
        <v>19</v>
      </c>
      <c r="B33" s="1" t="s">
        <v>295</v>
      </c>
      <c r="C33" s="1" t="s">
        <v>299</v>
      </c>
      <c r="D33" s="7" t="s">
        <v>293</v>
      </c>
      <c r="E33" s="15" t="s">
        <v>310</v>
      </c>
      <c r="F33" s="37">
        <v>0</v>
      </c>
      <c r="G33" s="37">
        <v>0</v>
      </c>
      <c r="H33" s="37">
        <v>199517.46000000002</v>
      </c>
      <c r="I33" s="37">
        <v>0</v>
      </c>
      <c r="J33" s="10">
        <f t="shared" si="2"/>
        <v>199517.46000000002</v>
      </c>
    </row>
    <row r="34" spans="1:15" x14ac:dyDescent="0.25">
      <c r="A34" s="1">
        <f t="shared" si="3"/>
        <v>20</v>
      </c>
      <c r="B34" s="1" t="s">
        <v>18</v>
      </c>
      <c r="C34" s="1" t="s">
        <v>300</v>
      </c>
      <c r="D34" s="7" t="s">
        <v>78</v>
      </c>
      <c r="E34" s="15" t="s">
        <v>310</v>
      </c>
      <c r="F34" s="37">
        <v>0</v>
      </c>
      <c r="G34" s="37">
        <v>0</v>
      </c>
      <c r="H34" s="37">
        <v>0</v>
      </c>
      <c r="I34" s="37">
        <v>0</v>
      </c>
      <c r="J34" s="10">
        <f t="shared" si="2"/>
        <v>0</v>
      </c>
    </row>
    <row r="35" spans="1:15" x14ac:dyDescent="0.25">
      <c r="A35" s="1">
        <f t="shared" si="3"/>
        <v>21</v>
      </c>
      <c r="B35" s="1" t="s">
        <v>295</v>
      </c>
      <c r="C35" s="1" t="s">
        <v>300</v>
      </c>
      <c r="D35" s="7" t="s">
        <v>78</v>
      </c>
      <c r="E35" s="15" t="s">
        <v>310</v>
      </c>
      <c r="F35" s="20">
        <v>0</v>
      </c>
      <c r="G35" s="20">
        <v>0</v>
      </c>
      <c r="H35" s="20">
        <v>0</v>
      </c>
      <c r="I35" s="20">
        <v>0</v>
      </c>
      <c r="J35" s="10">
        <f t="shared" si="2"/>
        <v>0</v>
      </c>
    </row>
    <row r="36" spans="1:15" s="6" customFormat="1" x14ac:dyDescent="0.25">
      <c r="A36" s="16">
        <f t="shared" si="3"/>
        <v>22</v>
      </c>
      <c r="D36" s="6" t="s">
        <v>303</v>
      </c>
      <c r="E36" s="6" t="str">
        <f>"Sum Lns. ("&amp;A24&amp;" through "&amp;A35&amp;")"</f>
        <v>Sum Lns. (10 through 21)</v>
      </c>
      <c r="F36" s="28">
        <f>SUM(F24:F35)</f>
        <v>23031123.07</v>
      </c>
      <c r="G36" s="28">
        <f t="shared" ref="G36:J36" si="4">SUM(G24:G35)</f>
        <v>153043.35</v>
      </c>
      <c r="H36" s="28">
        <f t="shared" si="4"/>
        <v>1395466.76</v>
      </c>
      <c r="I36" s="28">
        <f t="shared" si="4"/>
        <v>0</v>
      </c>
      <c r="J36" s="28">
        <f t="shared" si="4"/>
        <v>24579633.180000003</v>
      </c>
    </row>
    <row r="37" spans="1:15" x14ac:dyDescent="0.25">
      <c r="B37"/>
      <c r="C37"/>
    </row>
    <row r="38" spans="1:15" s="6" customFormat="1" ht="18.75" x14ac:dyDescent="0.25">
      <c r="A38" s="16"/>
      <c r="D38" s="21" t="s">
        <v>683</v>
      </c>
    </row>
    <row r="39" spans="1:15" x14ac:dyDescent="0.25">
      <c r="A39" s="1">
        <f>A36+1</f>
        <v>23</v>
      </c>
      <c r="B39"/>
      <c r="C39"/>
      <c r="D39" s="7" t="s">
        <v>294</v>
      </c>
      <c r="E39" t="str">
        <f>"Taken from Lns. "&amp;$A$24&amp;" through "&amp;$A$35</f>
        <v>Taken from Lns. 10 through 21</v>
      </c>
      <c r="F39" s="10">
        <f t="shared" ref="F39:J41" si="5">SUMIF($B$24:$B$35,$D39,F$24:F$35)</f>
        <v>10680321.860000003</v>
      </c>
      <c r="G39" s="10">
        <f t="shared" si="5"/>
        <v>0</v>
      </c>
      <c r="H39" s="10">
        <f t="shared" si="5"/>
        <v>0</v>
      </c>
      <c r="I39" s="10">
        <f t="shared" si="5"/>
        <v>0</v>
      </c>
      <c r="J39" s="10">
        <f t="shared" si="5"/>
        <v>10680321.860000003</v>
      </c>
      <c r="L39" s="1" t="s">
        <v>16</v>
      </c>
      <c r="M39" s="27">
        <f>VLOOKUP(L39,'A22 (Allocation Factors)'!$D:$F,3,0)</f>
        <v>0.99107572717159387</v>
      </c>
      <c r="O39" s="10">
        <f t="shared" ref="O39:O41" si="6">J39*M39</f>
        <v>10585007.753826173</v>
      </c>
    </row>
    <row r="40" spans="1:15" x14ac:dyDescent="0.25">
      <c r="A40" s="1">
        <f>A39+1</f>
        <v>24</v>
      </c>
      <c r="B40"/>
      <c r="C40"/>
      <c r="D40" s="7" t="s">
        <v>18</v>
      </c>
      <c r="E40" t="str">
        <f t="shared" ref="E40:E41" si="7">"Taken from Lns. "&amp;$A$24&amp;" through "&amp;$A$35</f>
        <v>Taken from Lns. 10 through 21</v>
      </c>
      <c r="F40" s="10">
        <f t="shared" si="5"/>
        <v>12350801.209999997</v>
      </c>
      <c r="G40" s="10">
        <f t="shared" si="5"/>
        <v>153043.35</v>
      </c>
      <c r="H40" s="10">
        <f t="shared" si="5"/>
        <v>0</v>
      </c>
      <c r="I40" s="10">
        <f t="shared" si="5"/>
        <v>0</v>
      </c>
      <c r="J40" s="10">
        <f t="shared" si="5"/>
        <v>12503844.559999997</v>
      </c>
      <c r="L40" s="1" t="s">
        <v>29</v>
      </c>
      <c r="M40" s="27">
        <f>VLOOKUP(L40,'A22 (Allocation Factors)'!$D:$F,3,0)</f>
        <v>0</v>
      </c>
      <c r="O40" s="10">
        <f t="shared" si="6"/>
        <v>0</v>
      </c>
    </row>
    <row r="41" spans="1:15" x14ac:dyDescent="0.25">
      <c r="A41" s="1">
        <f>A40+1</f>
        <v>25</v>
      </c>
      <c r="D41" s="7" t="s">
        <v>295</v>
      </c>
      <c r="E41" t="str">
        <f t="shared" si="7"/>
        <v>Taken from Lns. 10 through 21</v>
      </c>
      <c r="F41" s="10">
        <f t="shared" si="5"/>
        <v>0</v>
      </c>
      <c r="G41" s="10">
        <f t="shared" si="5"/>
        <v>0</v>
      </c>
      <c r="H41" s="10">
        <f t="shared" si="5"/>
        <v>1395466.76</v>
      </c>
      <c r="I41" s="10">
        <f t="shared" si="5"/>
        <v>0</v>
      </c>
      <c r="J41" s="10">
        <f t="shared" si="5"/>
        <v>1395466.76</v>
      </c>
      <c r="L41" s="1" t="s">
        <v>29</v>
      </c>
      <c r="M41" s="27">
        <f>VLOOKUP(L41,'A22 (Allocation Factors)'!$D:$F,3,0)</f>
        <v>0</v>
      </c>
      <c r="O41" s="10">
        <f t="shared" si="6"/>
        <v>0</v>
      </c>
    </row>
    <row r="42" spans="1:15" s="6" customFormat="1" x14ac:dyDescent="0.25">
      <c r="A42" s="16">
        <f>A41+1</f>
        <v>26</v>
      </c>
      <c r="B42" s="16"/>
      <c r="C42" s="16"/>
      <c r="D42" s="6" t="s">
        <v>303</v>
      </c>
      <c r="E42" s="6" t="str">
        <f>"Sum Lns. ("&amp;A39&amp;" through "&amp;A41&amp;")"</f>
        <v>Sum Lns. (23 through 25)</v>
      </c>
      <c r="F42" s="28">
        <f>SUM(F39:F41)</f>
        <v>23031123.07</v>
      </c>
      <c r="G42" s="28">
        <f t="shared" ref="G42:J42" si="8">SUM(G39:G41)</f>
        <v>153043.35</v>
      </c>
      <c r="H42" s="28">
        <f t="shared" si="8"/>
        <v>1395466.76</v>
      </c>
      <c r="I42" s="28">
        <f t="shared" si="8"/>
        <v>0</v>
      </c>
      <c r="J42" s="28">
        <f t="shared" si="8"/>
        <v>24579633.180000003</v>
      </c>
      <c r="O42" s="28">
        <f>SUM(O39:O41)</f>
        <v>10585007.753826173</v>
      </c>
    </row>
    <row r="44" spans="1:15" s="210" customFormat="1" x14ac:dyDescent="0.25">
      <c r="A44" s="241">
        <f>A42+1</f>
        <v>27</v>
      </c>
      <c r="B44" s="209"/>
      <c r="C44" s="209"/>
      <c r="D44" s="242" t="s">
        <v>1135</v>
      </c>
      <c r="E44" s="242" t="s">
        <v>1112</v>
      </c>
      <c r="J44" s="243">
        <f>'A3-1 (Incr PV Rev Cred)'!E28</f>
        <v>0</v>
      </c>
      <c r="L44" s="209"/>
      <c r="M44" s="27"/>
      <c r="O44" s="243">
        <f>J44</f>
        <v>0</v>
      </c>
    </row>
    <row r="45" spans="1:15" s="210" customFormat="1" x14ac:dyDescent="0.25">
      <c r="A45" s="209"/>
      <c r="B45" s="209"/>
      <c r="C45" s="209"/>
    </row>
    <row r="46" spans="1:15" s="242" customFormat="1" ht="16.5" thickBot="1" x14ac:dyDescent="0.3">
      <c r="A46" s="241">
        <f>A44+1</f>
        <v>28</v>
      </c>
      <c r="B46" s="241"/>
      <c r="C46" s="241"/>
      <c r="D46" s="244" t="s">
        <v>15</v>
      </c>
      <c r="E46" s="242" t="str">
        <f>"Lns. ("&amp;A21&amp;" + "&amp;A42&amp;" + "&amp;A44&amp;")"</f>
        <v>Lns. (9 + 26 + 27)</v>
      </c>
      <c r="J46" s="245">
        <f>J21+J42+J44</f>
        <v>27685644.980000004</v>
      </c>
      <c r="O46" s="245">
        <f>O21+O42+O44</f>
        <v>10910276.590240942</v>
      </c>
    </row>
    <row r="47" spans="1:15" ht="5.25" customHeight="1" thickTop="1" x14ac:dyDescent="0.25">
      <c r="A47" s="14"/>
      <c r="B47" s="14"/>
      <c r="C47" s="14"/>
      <c r="D47" s="5"/>
      <c r="E47" s="5"/>
      <c r="F47" s="5"/>
      <c r="G47" s="5"/>
      <c r="H47" s="5"/>
      <c r="I47" s="5"/>
      <c r="J47" s="5"/>
      <c r="K47" s="5"/>
      <c r="L47" s="5"/>
      <c r="M47" s="5"/>
      <c r="N47" s="5"/>
      <c r="O47" s="5"/>
    </row>
    <row r="48" spans="1:15" ht="5.25" customHeight="1" x14ac:dyDescent="0.25"/>
    <row r="49" spans="1:15" x14ac:dyDescent="0.25">
      <c r="A49" s="22" t="s">
        <v>311</v>
      </c>
      <c r="B49" s="22"/>
      <c r="C49" s="22"/>
    </row>
    <row r="50" spans="1:15" ht="18.75" x14ac:dyDescent="0.25">
      <c r="A50" s="23">
        <v>1</v>
      </c>
      <c r="B50" s="83" t="s">
        <v>665</v>
      </c>
      <c r="C50" s="22"/>
    </row>
    <row r="51" spans="1:15" ht="18.75" x14ac:dyDescent="0.25">
      <c r="A51" s="23">
        <v>2</v>
      </c>
      <c r="B51" t="str">
        <f>"Total company amount shown on line "&amp;A21&amp;" must match the amount shown on "&amp;'A1 (FF1 Inputs)'!$E$1&amp;", line "&amp;'A1 (FF1 Inputs)'!A73&amp;", which is taken from the Company's FERC Form No. 1."</f>
        <v>Total company amount shown on line 9 must match the amount shown on Worksheet A1, line 46, which is taken from the Company's FERC Form No. 1.</v>
      </c>
      <c r="C51" s="23"/>
      <c r="O51" s="1"/>
    </row>
    <row r="52" spans="1:15" ht="18.75" x14ac:dyDescent="0.25">
      <c r="A52" s="23">
        <v>3</v>
      </c>
      <c r="B52" t="str">
        <f>"Total company amount shown on line "&amp;A36&amp;" must match the amount shown on "&amp;'A1 (FF1 Inputs)'!$E$1&amp;", line "&amp;'A1 (FF1 Inputs)'!A74&amp;", which is taken from the Company's FERC Form No. 1."</f>
        <v>Total company amount shown on line 22 must match the amount shown on Worksheet A1, line 47, which is taken from the Company's FERC Form No. 1.</v>
      </c>
      <c r="C52" s="23"/>
      <c r="O52" s="1"/>
    </row>
    <row r="53" spans="1:15" ht="18.75" x14ac:dyDescent="0.25">
      <c r="A53" s="23">
        <v>4</v>
      </c>
      <c r="B53" t="str">
        <f>"Amounts shown on lines "&amp;A39&amp;" through "&amp;A41&amp;" are automatically generated based on the Account No. 456.1 categorizations shown in column "&amp;B9&amp;" for lines "&amp;A24&amp;" through "&amp;A35&amp;". Categories described below:"</f>
        <v>Amounts shown on lines 23 through 25 are automatically generated based on the Account No. 456.1 categorizations shown in column [a] for lines 10 through 21. Categories described below:</v>
      </c>
      <c r="C53" s="23"/>
    </row>
    <row r="54" spans="1:15" ht="7.5" customHeight="1" x14ac:dyDescent="0.25">
      <c r="A54" s="23"/>
      <c r="B54"/>
      <c r="C54" s="23"/>
    </row>
    <row r="55" spans="1:15" x14ac:dyDescent="0.25">
      <c r="B55" s="8" t="s">
        <v>317</v>
      </c>
      <c r="C55" s="15" t="s">
        <v>320</v>
      </c>
    </row>
    <row r="56" spans="1:15" x14ac:dyDescent="0.25">
      <c r="B56" s="8" t="s">
        <v>318</v>
      </c>
      <c r="C56" s="15" t="s">
        <v>321</v>
      </c>
    </row>
    <row r="57" spans="1:15" x14ac:dyDescent="0.25">
      <c r="B57" s="8" t="s">
        <v>319</v>
      </c>
      <c r="C57" s="15" t="s">
        <v>322</v>
      </c>
    </row>
    <row r="58" spans="1:15" ht="7.5" customHeight="1" x14ac:dyDescent="0.25">
      <c r="B58" s="8"/>
      <c r="C58" s="15"/>
    </row>
    <row r="59" spans="1:15" ht="62.25" customHeight="1" x14ac:dyDescent="0.25">
      <c r="A59" s="223">
        <v>5</v>
      </c>
      <c r="B59" s="272" t="s">
        <v>1140</v>
      </c>
      <c r="C59" s="272"/>
      <c r="D59" s="272"/>
      <c r="E59" s="272"/>
      <c r="F59" s="272"/>
      <c r="G59" s="272"/>
      <c r="H59" s="272"/>
      <c r="I59" s="272"/>
      <c r="J59" s="272"/>
      <c r="K59" s="272"/>
      <c r="L59" s="272"/>
      <c r="M59" s="272"/>
      <c r="N59" s="272"/>
      <c r="O59" s="272"/>
    </row>
    <row r="60" spans="1:15" ht="5.25" customHeight="1" thickBot="1" x14ac:dyDescent="0.3">
      <c r="A60" s="24"/>
      <c r="B60" s="24"/>
      <c r="C60" s="24"/>
      <c r="D60" s="4"/>
      <c r="E60" s="4"/>
      <c r="F60" s="4"/>
      <c r="G60" s="4"/>
      <c r="H60" s="4"/>
      <c r="I60" s="4"/>
      <c r="J60" s="4"/>
      <c r="K60" s="4"/>
      <c r="L60" s="4"/>
      <c r="M60" s="4"/>
      <c r="N60" s="4"/>
      <c r="O60" s="4"/>
    </row>
    <row r="61" spans="1:15" ht="5.25" customHeight="1" thickTop="1" x14ac:dyDescent="0.25"/>
    <row r="64" spans="1:15" x14ac:dyDescent="0.25">
      <c r="B64" s="224"/>
      <c r="C64" s="224"/>
      <c r="D64" s="224"/>
      <c r="E64" s="224"/>
      <c r="F64" s="224"/>
      <c r="G64" s="224"/>
      <c r="H64" s="224"/>
      <c r="I64" s="224"/>
      <c r="J64" s="224"/>
      <c r="K64" s="224"/>
      <c r="L64" s="224"/>
      <c r="M64" s="224"/>
      <c r="N64" s="224"/>
      <c r="O64" s="224"/>
    </row>
  </sheetData>
  <mergeCells count="21">
    <mergeCell ref="B59:O59"/>
    <mergeCell ref="B16:C16"/>
    <mergeCell ref="B17:C17"/>
    <mergeCell ref="B18:C18"/>
    <mergeCell ref="B19:C19"/>
    <mergeCell ref="B20:C20"/>
    <mergeCell ref="B15:C15"/>
    <mergeCell ref="A7:A9"/>
    <mergeCell ref="D7:D8"/>
    <mergeCell ref="B7:B8"/>
    <mergeCell ref="C7:C8"/>
    <mergeCell ref="L7:M7"/>
    <mergeCell ref="O7:O8"/>
    <mergeCell ref="E7:E8"/>
    <mergeCell ref="B13:C13"/>
    <mergeCell ref="B14:C14"/>
    <mergeCell ref="J7:J8"/>
    <mergeCell ref="F7:F8"/>
    <mergeCell ref="G7:G8"/>
    <mergeCell ref="H7:H8"/>
    <mergeCell ref="I7:I8"/>
  </mergeCells>
  <phoneticPr fontId="7" type="noConversion"/>
  <pageMargins left="0.7" right="0.7" top="0.75" bottom="0.75" header="0.3" footer="0.3"/>
  <pageSetup scale="50" orientation="landscape" horizontalDpi="1200" verticalDpi="1200" r:id="rId1"/>
  <headerFooter>
    <oddFooter>&amp;L&amp;6{W0327924.2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33"/>
  <sheetViews>
    <sheetView workbookViewId="0"/>
  </sheetViews>
  <sheetFormatPr defaultRowHeight="15.75" x14ac:dyDescent="0.25"/>
  <cols>
    <col min="1" max="1" width="7" style="1" customWidth="1"/>
    <col min="2" max="2" width="9" style="1" customWidth="1"/>
    <col min="3" max="3" width="49.25" customWidth="1"/>
    <col min="4" max="4" width="30.5" customWidth="1"/>
    <col min="5" max="9" width="13.625" customWidth="1"/>
    <col min="10" max="10" width="3.625" customWidth="1"/>
    <col min="11" max="11" width="6.25" customWidth="1"/>
    <col min="13" max="13" width="3.625" customWidth="1"/>
    <col min="14" max="14" width="13.625" customWidth="1"/>
  </cols>
  <sheetData>
    <row r="1" spans="1:14" x14ac:dyDescent="0.25">
      <c r="A1" s="6" t="str">
        <f>epe</f>
        <v>El Paso Electric Company</v>
      </c>
      <c r="B1"/>
      <c r="E1" s="8" t="s">
        <v>1097</v>
      </c>
    </row>
    <row r="2" spans="1:14" x14ac:dyDescent="0.25">
      <c r="A2" t="str">
        <f>frta</f>
        <v>Formula Rate Template (Actuals)</v>
      </c>
      <c r="B2"/>
      <c r="D2" s="210"/>
      <c r="E2" s="228" t="s">
        <v>1134</v>
      </c>
      <c r="N2" s="8"/>
    </row>
    <row r="3" spans="1:14" x14ac:dyDescent="0.25">
      <c r="A3" t="s">
        <v>1113</v>
      </c>
      <c r="B3"/>
    </row>
    <row r="4" spans="1:14" x14ac:dyDescent="0.25">
      <c r="A4" t="str">
        <f>"12 Months Ended December 31, "&amp;YEAR('A1 (FF1 Inputs)'!$E$12)</f>
        <v>12 Months Ended December 31, 2020</v>
      </c>
      <c r="B4"/>
    </row>
    <row r="5" spans="1:14" ht="5.25" customHeight="1" thickBot="1" x14ac:dyDescent="0.3">
      <c r="A5" s="4"/>
      <c r="B5" s="4"/>
      <c r="C5" s="4"/>
      <c r="D5" s="4"/>
      <c r="E5" s="4"/>
    </row>
    <row r="6" spans="1:14" ht="5.25" customHeight="1" thickTop="1" x14ac:dyDescent="0.25">
      <c r="A6"/>
      <c r="B6"/>
    </row>
    <row r="7" spans="1:14" s="3" customFormat="1" ht="33" customHeight="1" x14ac:dyDescent="0.25">
      <c r="A7" s="266" t="s">
        <v>1</v>
      </c>
      <c r="B7" s="266" t="s">
        <v>1105</v>
      </c>
      <c r="C7" s="266" t="s">
        <v>2</v>
      </c>
      <c r="D7" s="266" t="s">
        <v>3</v>
      </c>
      <c r="E7" s="266" t="s">
        <v>1115</v>
      </c>
    </row>
    <row r="8" spans="1:14" s="3" customFormat="1" ht="33" customHeight="1" x14ac:dyDescent="0.25">
      <c r="A8" s="266"/>
      <c r="B8" s="266"/>
      <c r="C8" s="266"/>
      <c r="D8" s="266"/>
      <c r="E8" s="266"/>
    </row>
    <row r="9" spans="1:14" s="1" customFormat="1" x14ac:dyDescent="0.25">
      <c r="A9" s="266"/>
      <c r="B9" s="1" t="s">
        <v>7</v>
      </c>
      <c r="C9" s="1" t="s">
        <v>8</v>
      </c>
      <c r="D9" s="1" t="s">
        <v>9</v>
      </c>
      <c r="E9" s="1" t="s">
        <v>10</v>
      </c>
    </row>
    <row r="10" spans="1:14" ht="5.25" customHeight="1" x14ac:dyDescent="0.25">
      <c r="A10" s="5"/>
      <c r="B10" s="5"/>
      <c r="C10" s="5"/>
      <c r="D10" s="5"/>
      <c r="E10" s="5"/>
    </row>
    <row r="11" spans="1:14" ht="5.25" customHeight="1" x14ac:dyDescent="0.25">
      <c r="A11"/>
      <c r="B11"/>
    </row>
    <row r="12" spans="1:14" x14ac:dyDescent="0.25">
      <c r="A12" s="16">
        <v>1</v>
      </c>
      <c r="B12" s="21" t="s">
        <v>1098</v>
      </c>
    </row>
    <row r="13" spans="1:14" x14ac:dyDescent="0.25">
      <c r="A13" s="1">
        <f>A12+1</f>
        <v>2</v>
      </c>
      <c r="C13" t="s">
        <v>1101</v>
      </c>
      <c r="D13" t="s">
        <v>1106</v>
      </c>
      <c r="E13" s="37">
        <v>0</v>
      </c>
    </row>
    <row r="14" spans="1:14" x14ac:dyDescent="0.25">
      <c r="A14" s="1">
        <f t="shared" ref="A14:A28" si="0">A13+1</f>
        <v>3</v>
      </c>
      <c r="C14" s="12" t="s">
        <v>1100</v>
      </c>
      <c r="E14" s="254"/>
    </row>
    <row r="15" spans="1:14" x14ac:dyDescent="0.25">
      <c r="A15" s="1">
        <f t="shared" si="0"/>
        <v>4</v>
      </c>
      <c r="C15" s="210" t="s">
        <v>1118</v>
      </c>
      <c r="D15" t="s">
        <v>1106</v>
      </c>
      <c r="E15" s="37">
        <v>0</v>
      </c>
      <c r="F15" s="202"/>
    </row>
    <row r="16" spans="1:14" x14ac:dyDescent="0.25">
      <c r="A16" s="1">
        <f t="shared" si="0"/>
        <v>5</v>
      </c>
      <c r="C16" s="210" t="s">
        <v>1119</v>
      </c>
      <c r="D16" s="210" t="s">
        <v>1106</v>
      </c>
      <c r="E16" s="37">
        <v>0</v>
      </c>
    </row>
    <row r="17" spans="1:5" x14ac:dyDescent="0.25">
      <c r="A17" s="1">
        <f t="shared" si="0"/>
        <v>6</v>
      </c>
      <c r="C17" t="s">
        <v>1103</v>
      </c>
      <c r="D17" t="s">
        <v>1107</v>
      </c>
      <c r="E17" s="10">
        <f>E15*E16</f>
        <v>0</v>
      </c>
    </row>
    <row r="18" spans="1:5" x14ac:dyDescent="0.25">
      <c r="A18" s="1">
        <f t="shared" si="0"/>
        <v>7</v>
      </c>
      <c r="C18" t="s">
        <v>1102</v>
      </c>
      <c r="D18" t="s">
        <v>1108</v>
      </c>
      <c r="E18" s="11">
        <f>E13-E17</f>
        <v>0</v>
      </c>
    </row>
    <row r="19" spans="1:5" x14ac:dyDescent="0.25">
      <c r="A19" s="1">
        <f t="shared" si="0"/>
        <v>8</v>
      </c>
      <c r="E19" s="10"/>
    </row>
    <row r="20" spans="1:5" x14ac:dyDescent="0.25">
      <c r="A20" s="16">
        <f t="shared" si="0"/>
        <v>9</v>
      </c>
      <c r="B20" s="21" t="s">
        <v>1099</v>
      </c>
    </row>
    <row r="21" spans="1:5" x14ac:dyDescent="0.25">
      <c r="A21" s="1">
        <f t="shared" si="0"/>
        <v>10</v>
      </c>
      <c r="C21" t="s">
        <v>1101</v>
      </c>
      <c r="D21" t="s">
        <v>1106</v>
      </c>
      <c r="E21" s="37">
        <v>0</v>
      </c>
    </row>
    <row r="22" spans="1:5" x14ac:dyDescent="0.25">
      <c r="A22" s="1">
        <f t="shared" si="0"/>
        <v>11</v>
      </c>
      <c r="C22" s="12" t="s">
        <v>1100</v>
      </c>
      <c r="E22" s="208"/>
    </row>
    <row r="23" spans="1:5" x14ac:dyDescent="0.25">
      <c r="A23" s="1">
        <f t="shared" si="0"/>
        <v>12</v>
      </c>
      <c r="C23" s="210" t="s">
        <v>1118</v>
      </c>
      <c r="D23" t="s">
        <v>1106</v>
      </c>
      <c r="E23" s="37">
        <v>0</v>
      </c>
    </row>
    <row r="24" spans="1:5" x14ac:dyDescent="0.25">
      <c r="A24" s="1">
        <f t="shared" si="0"/>
        <v>13</v>
      </c>
      <c r="C24" s="210" t="s">
        <v>1119</v>
      </c>
      <c r="D24" t="s">
        <v>1106</v>
      </c>
      <c r="E24" s="37">
        <v>0</v>
      </c>
    </row>
    <row r="25" spans="1:5" x14ac:dyDescent="0.25">
      <c r="A25" s="1">
        <f t="shared" si="0"/>
        <v>14</v>
      </c>
      <c r="C25" t="s">
        <v>1103</v>
      </c>
      <c r="D25" t="s">
        <v>1109</v>
      </c>
      <c r="E25" s="10">
        <f>E23*E24</f>
        <v>0</v>
      </c>
    </row>
    <row r="26" spans="1:5" x14ac:dyDescent="0.25">
      <c r="A26" s="1">
        <f t="shared" si="0"/>
        <v>15</v>
      </c>
      <c r="C26" t="s">
        <v>1102</v>
      </c>
      <c r="D26" t="s">
        <v>1110</v>
      </c>
      <c r="E26" s="211">
        <f>+E21-E25</f>
        <v>0</v>
      </c>
    </row>
    <row r="27" spans="1:5" x14ac:dyDescent="0.25">
      <c r="A27" s="1">
        <f t="shared" si="0"/>
        <v>16</v>
      </c>
      <c r="E27" s="10"/>
    </row>
    <row r="28" spans="1:5" ht="16.5" thickBot="1" x14ac:dyDescent="0.3">
      <c r="A28" s="16">
        <f t="shared" si="0"/>
        <v>17</v>
      </c>
      <c r="B28" s="6" t="s">
        <v>1104</v>
      </c>
      <c r="D28" t="s">
        <v>1111</v>
      </c>
      <c r="E28" s="29">
        <f>E18+E26</f>
        <v>0</v>
      </c>
    </row>
    <row r="29" spans="1:5" ht="5.25" customHeight="1" thickTop="1" x14ac:dyDescent="0.25">
      <c r="A29" s="14"/>
      <c r="B29" s="14"/>
      <c r="C29" s="14"/>
      <c r="D29" s="5"/>
      <c r="E29" s="5"/>
    </row>
    <row r="30" spans="1:5" ht="5.25" customHeight="1" x14ac:dyDescent="0.25">
      <c r="C30" s="1"/>
    </row>
    <row r="31" spans="1:5" x14ac:dyDescent="0.25">
      <c r="A31" s="22" t="s">
        <v>311</v>
      </c>
      <c r="B31" s="22"/>
      <c r="C31" s="22"/>
    </row>
    <row r="32" spans="1:5" ht="18.75" x14ac:dyDescent="0.25">
      <c r="A32" s="23">
        <v>1</v>
      </c>
      <c r="B32" s="83" t="s">
        <v>665</v>
      </c>
      <c r="C32" s="22"/>
    </row>
    <row r="33" spans="1:5" ht="36.6" customHeight="1" x14ac:dyDescent="0.25">
      <c r="A33" s="23">
        <v>2</v>
      </c>
      <c r="B33" s="272" t="s">
        <v>1142</v>
      </c>
      <c r="C33" s="272"/>
      <c r="D33" s="272"/>
      <c r="E33" s="272"/>
    </row>
  </sheetData>
  <mergeCells count="6">
    <mergeCell ref="B33:E33"/>
    <mergeCell ref="A7:A9"/>
    <mergeCell ref="B7:B8"/>
    <mergeCell ref="C7:C8"/>
    <mergeCell ref="E7:E8"/>
    <mergeCell ref="D7:D8"/>
  </mergeCells>
  <pageMargins left="0.7" right="0.7" top="0.75" bottom="0.75" header="0.3" footer="0.3"/>
  <pageSetup scale="77" orientation="portrait" horizontalDpi="1200" verticalDpi="1200" r:id="rId1"/>
  <headerFooter>
    <oddFooter>&amp;L&amp;6{W0327924.2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83"/>
  <sheetViews>
    <sheetView workbookViewId="0"/>
  </sheetViews>
  <sheetFormatPr defaultRowHeight="15.75" x14ac:dyDescent="0.25"/>
  <cols>
    <col min="1" max="1" width="5" style="1" customWidth="1"/>
    <col min="2" max="2" width="34" customWidth="1"/>
    <col min="3" max="10" width="15.625" customWidth="1"/>
    <col min="12" max="12" width="14.125" bestFit="1" customWidth="1"/>
    <col min="13" max="13" width="15.5" bestFit="1" customWidth="1"/>
    <col min="14" max="14" width="11" bestFit="1" customWidth="1"/>
  </cols>
  <sheetData>
    <row r="1" spans="1:12" x14ac:dyDescent="0.25">
      <c r="A1" s="6" t="str">
        <f>epe</f>
        <v>El Paso Electric Company</v>
      </c>
      <c r="J1" s="8" t="s">
        <v>375</v>
      </c>
    </row>
    <row r="2" spans="1:12" x14ac:dyDescent="0.25">
      <c r="A2" t="str">
        <f>frta</f>
        <v>Formula Rate Template (Actuals)</v>
      </c>
    </row>
    <row r="3" spans="1:12" x14ac:dyDescent="0.25">
      <c r="A3" t="s">
        <v>362</v>
      </c>
    </row>
    <row r="4" spans="1:12" x14ac:dyDescent="0.25">
      <c r="A4" t="str">
        <f>"12 Months Ended December 31, "&amp;YEAR('A1 (FF1 Inputs)'!$E$12)</f>
        <v>12 Months Ended December 31, 2020</v>
      </c>
    </row>
    <row r="5" spans="1:12" ht="5.25" customHeight="1" thickBot="1" x14ac:dyDescent="0.3">
      <c r="A5" s="4"/>
      <c r="B5" s="4"/>
      <c r="C5" s="4"/>
      <c r="D5" s="4"/>
      <c r="E5" s="4"/>
      <c r="F5" s="4"/>
      <c r="G5" s="4"/>
      <c r="H5" s="4"/>
      <c r="I5" s="4"/>
      <c r="J5" s="4"/>
    </row>
    <row r="6" spans="1:12" ht="5.25" customHeight="1" thickTop="1" x14ac:dyDescent="0.25">
      <c r="A6"/>
    </row>
    <row r="7" spans="1:12" s="40" customFormat="1" ht="31.5" x14ac:dyDescent="0.25">
      <c r="A7" s="267" t="str">
        <f>ln</f>
        <v>Line No.</v>
      </c>
      <c r="B7" s="40" t="s">
        <v>363</v>
      </c>
      <c r="C7" s="40" t="s">
        <v>656</v>
      </c>
      <c r="D7" s="40" t="s">
        <v>657</v>
      </c>
      <c r="E7" s="40" t="s">
        <v>366</v>
      </c>
      <c r="F7" s="246" t="s">
        <v>1143</v>
      </c>
      <c r="G7" s="40" t="s">
        <v>367</v>
      </c>
      <c r="H7" s="40" t="s">
        <v>658</v>
      </c>
      <c r="I7" s="40" t="s">
        <v>659</v>
      </c>
      <c r="J7" s="40" t="s">
        <v>368</v>
      </c>
    </row>
    <row r="8" spans="1:12" s="1" customFormat="1" ht="31.5" x14ac:dyDescent="0.25">
      <c r="A8" s="267"/>
      <c r="B8" s="2" t="s">
        <v>7</v>
      </c>
      <c r="C8" s="2" t="s">
        <v>8</v>
      </c>
      <c r="D8" s="2" t="s">
        <v>9</v>
      </c>
      <c r="E8" s="2" t="s">
        <v>10</v>
      </c>
      <c r="F8" s="2" t="s">
        <v>11</v>
      </c>
      <c r="G8" s="2" t="s">
        <v>372</v>
      </c>
      <c r="H8" s="2" t="s">
        <v>91</v>
      </c>
      <c r="I8" s="2" t="s">
        <v>92</v>
      </c>
      <c r="J8" s="3" t="s">
        <v>373</v>
      </c>
    </row>
    <row r="9" spans="1:12" ht="5.25" customHeight="1" x14ac:dyDescent="0.25">
      <c r="A9" s="5"/>
      <c r="B9" s="5"/>
      <c r="C9" s="5"/>
      <c r="D9" s="5"/>
      <c r="E9" s="5"/>
      <c r="F9" s="5"/>
      <c r="G9" s="5"/>
      <c r="H9" s="5"/>
      <c r="I9" s="5"/>
      <c r="J9" s="5"/>
    </row>
    <row r="10" spans="1:12" ht="5.25" customHeight="1" x14ac:dyDescent="0.25">
      <c r="A10"/>
    </row>
    <row r="11" spans="1:12" ht="18.75" x14ac:dyDescent="0.25">
      <c r="A11"/>
      <c r="B11" s="21" t="s">
        <v>374</v>
      </c>
    </row>
    <row r="12" spans="1:12" s="80" customFormat="1" ht="25.5" x14ac:dyDescent="0.25">
      <c r="A12" s="2">
        <f>1</f>
        <v>1</v>
      </c>
      <c r="B12" s="78" t="s">
        <v>661</v>
      </c>
      <c r="C12" s="79" t="str">
        <f>'A1 (FF1 Inputs)'!$E$1&amp;", Lns. ("&amp;'A1 (FF1 Inputs)'!A42&amp;"-"&amp;'A1 (FF1 Inputs)'!A38&amp;"-"&amp;'A1 (FF1 Inputs)'!A39&amp;"-"&amp;'A1 (FF1 Inputs)'!A40&amp;"-"&amp;'A1 (FF1 Inputs)'!A41&amp;")"</f>
        <v>Worksheet A1, Lns. (24-20-21-22-23)</v>
      </c>
      <c r="D12" s="79" t="str">
        <f>'A1 (FF1 Inputs)'!$E$1&amp;", Lns. ("&amp;'A1 (FF1 Inputs)'!A46&amp;"-"&amp;'A1 (FF1 Inputs)'!A45&amp;")"</f>
        <v>Worksheet A1, Lns. (28-27)</v>
      </c>
      <c r="E12" s="79" t="s">
        <v>662</v>
      </c>
      <c r="F12" s="79" t="str">
        <f>'A5 (Excluded Trans Plant)'!Q1&amp;", Ln. "&amp;'A5 (Excluded Trans Plant)'!A21</f>
        <v>Worksheet A5, Ln. 2</v>
      </c>
      <c r="G12" s="79" t="str">
        <f>'A1 (FF1 Inputs)'!$E$1&amp;", Lns. ("&amp;'A1 (FF1 Inputs)'!A44&amp;"-"&amp;'A1 (FF1 Inputs)'!A43&amp;")"</f>
        <v>Worksheet A1, Lns. (26-25)</v>
      </c>
      <c r="H12" s="79" t="str">
        <f>'A1 (FF1 Inputs)'!$E$1&amp;", Lns. ("&amp;'A1 (FF1 Inputs)'!A48&amp;"-"&amp;'A1 (FF1 Inputs)'!A47&amp;")"</f>
        <v>Worksheet A1, Lns. (30-29)</v>
      </c>
      <c r="I12" s="79" t="str">
        <f>'A1 (FF1 Inputs)'!$E$1&amp;", Ln. "&amp;'A1 (FF1 Inputs)'!A37</f>
        <v>Worksheet A1, Ln. 19</v>
      </c>
      <c r="J12" s="79"/>
    </row>
    <row r="13" spans="1:12" x14ac:dyDescent="0.25">
      <c r="A13" s="1">
        <f>A12+1</f>
        <v>2</v>
      </c>
      <c r="B13" t="s">
        <v>370</v>
      </c>
      <c r="C13" s="41">
        <f>'A1 (FF1 Inputs)'!D42-'A1 (FF1 Inputs)'!D38-'A1 (FF1 Inputs)'!D39-'A1 (FF1 Inputs)'!D40-'A1 (FF1 Inputs)'!D41</f>
        <v>3034065458</v>
      </c>
      <c r="D13" s="41">
        <f>'A1 (FF1 Inputs)'!D46-'A1 (FF1 Inputs)'!D45</f>
        <v>1355690685</v>
      </c>
      <c r="E13" s="41">
        <f>G13-F13</f>
        <v>545442687.30999994</v>
      </c>
      <c r="F13" s="41">
        <f t="array" ref="F13:F25">TRANSPOSE('A5 (Excluded Trans Plant)'!D21:P21)</f>
        <v>4887470.6900000004</v>
      </c>
      <c r="G13" s="41">
        <f>'A1 (FF1 Inputs)'!D44-'A1 (FF1 Inputs)'!D43</f>
        <v>550330158</v>
      </c>
      <c r="H13" s="41">
        <f>'A1 (FF1 Inputs)'!D48-'A1 (FF1 Inputs)'!D47</f>
        <v>260197566</v>
      </c>
      <c r="I13" s="41">
        <f>'A1 (FF1 Inputs)'!D37</f>
        <v>168740228</v>
      </c>
      <c r="J13" s="41">
        <f>C13+D13+G13+H13+I13</f>
        <v>5369024095</v>
      </c>
      <c r="L13" s="10"/>
    </row>
    <row r="14" spans="1:12" x14ac:dyDescent="0.25">
      <c r="A14" s="1">
        <f>A13+1</f>
        <v>3</v>
      </c>
      <c r="B14" t="s">
        <v>79</v>
      </c>
      <c r="C14" s="37">
        <v>3033172894</v>
      </c>
      <c r="D14" s="37">
        <v>1359398259</v>
      </c>
      <c r="E14" s="37">
        <f>551065616-'A5 (Excluded Trans Plant)'!E21</f>
        <v>545961225.27999997</v>
      </c>
      <c r="F14" s="41">
        <v>5104390.72</v>
      </c>
      <c r="G14" s="41">
        <f t="shared" ref="G14:G24" si="0">E14+F14</f>
        <v>551065616</v>
      </c>
      <c r="H14" s="37">
        <v>261684210</v>
      </c>
      <c r="I14" s="37">
        <v>169079661</v>
      </c>
      <c r="J14" s="41">
        <f t="shared" ref="J14:J25" si="1">C14+D14+G14+H14+I14</f>
        <v>5374400640</v>
      </c>
    </row>
    <row r="15" spans="1:12" x14ac:dyDescent="0.25">
      <c r="A15" s="1">
        <f t="shared" ref="A15:A26" si="2">A14+1</f>
        <v>4</v>
      </c>
      <c r="B15" t="s">
        <v>80</v>
      </c>
      <c r="C15" s="37">
        <v>3038466408</v>
      </c>
      <c r="D15" s="37">
        <v>1363236137</v>
      </c>
      <c r="E15" s="37">
        <f>560094029-'A5 (Excluded Trans Plant)'!F21</f>
        <v>554955714.15999997</v>
      </c>
      <c r="F15" s="41">
        <v>5138314.84</v>
      </c>
      <c r="G15" s="41">
        <f>E15+F15</f>
        <v>560094029</v>
      </c>
      <c r="H15" s="37">
        <v>262704489</v>
      </c>
      <c r="I15" s="37">
        <v>169324596</v>
      </c>
      <c r="J15" s="41">
        <f t="shared" si="1"/>
        <v>5393825659</v>
      </c>
    </row>
    <row r="16" spans="1:12" x14ac:dyDescent="0.25">
      <c r="A16" s="1">
        <f t="shared" si="2"/>
        <v>5</v>
      </c>
      <c r="B16" t="s">
        <v>81</v>
      </c>
      <c r="C16" s="37">
        <v>3047059934</v>
      </c>
      <c r="D16" s="37">
        <v>1368497360</v>
      </c>
      <c r="E16" s="37">
        <f>561002011-'A5 (Excluded Trans Plant)'!G21</f>
        <v>555863696.15999997</v>
      </c>
      <c r="F16" s="41">
        <v>5138314.84</v>
      </c>
      <c r="G16" s="41">
        <f t="shared" si="0"/>
        <v>561002011</v>
      </c>
      <c r="H16" s="37">
        <v>262983524</v>
      </c>
      <c r="I16" s="37">
        <v>169395154</v>
      </c>
      <c r="J16" s="41">
        <f t="shared" si="1"/>
        <v>5408937983</v>
      </c>
    </row>
    <row r="17" spans="1:10" x14ac:dyDescent="0.25">
      <c r="A17" s="1">
        <f t="shared" si="2"/>
        <v>6</v>
      </c>
      <c r="B17" t="s">
        <v>82</v>
      </c>
      <c r="C17" s="37">
        <v>3047804699</v>
      </c>
      <c r="D17" s="37">
        <v>1371543413</v>
      </c>
      <c r="E17" s="37">
        <f>560981034-'A5 (Excluded Trans Plant)'!H21</f>
        <v>555916623.41999996</v>
      </c>
      <c r="F17" s="41">
        <v>5064410.58</v>
      </c>
      <c r="G17" s="41">
        <f t="shared" si="0"/>
        <v>560981034</v>
      </c>
      <c r="H17" s="37">
        <v>263188527</v>
      </c>
      <c r="I17" s="37">
        <v>169550998</v>
      </c>
      <c r="J17" s="41">
        <f t="shared" si="1"/>
        <v>5413068671</v>
      </c>
    </row>
    <row r="18" spans="1:10" x14ac:dyDescent="0.25">
      <c r="A18" s="1">
        <f t="shared" si="2"/>
        <v>7</v>
      </c>
      <c r="B18" t="s">
        <v>83</v>
      </c>
      <c r="C18" s="37">
        <v>3052970062</v>
      </c>
      <c r="D18" s="37">
        <v>1394958527</v>
      </c>
      <c r="E18" s="37">
        <f>562873159-'A5 (Excluded Trans Plant)'!I21</f>
        <v>557720074.98000002</v>
      </c>
      <c r="F18" s="41">
        <v>5153084.0200000005</v>
      </c>
      <c r="G18" s="41">
        <f t="shared" si="0"/>
        <v>562873159</v>
      </c>
      <c r="H18" s="37">
        <v>263298237</v>
      </c>
      <c r="I18" s="37">
        <v>169740572</v>
      </c>
      <c r="J18" s="41">
        <f t="shared" si="1"/>
        <v>5443840557</v>
      </c>
    </row>
    <row r="19" spans="1:10" x14ac:dyDescent="0.25">
      <c r="A19" s="1">
        <f t="shared" si="2"/>
        <v>8</v>
      </c>
      <c r="B19" t="s">
        <v>84</v>
      </c>
      <c r="C19" s="37">
        <v>3062390590</v>
      </c>
      <c r="D19" s="37">
        <v>1399703075</v>
      </c>
      <c r="E19" s="37">
        <f>563459124-'A5 (Excluded Trans Plant)'!J21</f>
        <v>558250725.83000004</v>
      </c>
      <c r="F19" s="41">
        <v>5208398.17</v>
      </c>
      <c r="G19" s="41">
        <f t="shared" si="0"/>
        <v>563459124</v>
      </c>
      <c r="H19" s="37">
        <v>264799196</v>
      </c>
      <c r="I19" s="37">
        <v>169892553</v>
      </c>
      <c r="J19" s="41">
        <f t="shared" si="1"/>
        <v>5460244538</v>
      </c>
    </row>
    <row r="20" spans="1:10" x14ac:dyDescent="0.25">
      <c r="A20" s="1">
        <f t="shared" si="2"/>
        <v>9</v>
      </c>
      <c r="B20" t="s">
        <v>85</v>
      </c>
      <c r="C20" s="37">
        <v>3062545331</v>
      </c>
      <c r="D20" s="37">
        <v>1404880533</v>
      </c>
      <c r="E20" s="37">
        <f>564551833-'A5 (Excluded Trans Plant)'!K21</f>
        <v>559329734.94000006</v>
      </c>
      <c r="F20" s="41">
        <v>5222098.0599999996</v>
      </c>
      <c r="G20" s="41">
        <f t="shared" si="0"/>
        <v>564551833</v>
      </c>
      <c r="H20" s="37">
        <v>265724546</v>
      </c>
      <c r="I20" s="37">
        <v>175664881</v>
      </c>
      <c r="J20" s="41">
        <f t="shared" si="1"/>
        <v>5473367124</v>
      </c>
    </row>
    <row r="21" spans="1:10" x14ac:dyDescent="0.25">
      <c r="A21" s="1">
        <f t="shared" si="2"/>
        <v>10</v>
      </c>
      <c r="B21" t="s">
        <v>86</v>
      </c>
      <c r="C21" s="37">
        <v>3068632905</v>
      </c>
      <c r="D21" s="37">
        <v>1408811450</v>
      </c>
      <c r="E21" s="37">
        <f>565606993-'A5 (Excluded Trans Plant)'!L21</f>
        <v>560416893.34000003</v>
      </c>
      <c r="F21" s="41">
        <v>5190099.66</v>
      </c>
      <c r="G21" s="41">
        <f t="shared" si="0"/>
        <v>565606993</v>
      </c>
      <c r="H21" s="37">
        <v>269779210</v>
      </c>
      <c r="I21" s="37">
        <v>176363793</v>
      </c>
      <c r="J21" s="41">
        <f t="shared" si="1"/>
        <v>5489194351</v>
      </c>
    </row>
    <row r="22" spans="1:10" x14ac:dyDescent="0.25">
      <c r="A22" s="1">
        <f t="shared" si="2"/>
        <v>11</v>
      </c>
      <c r="B22" t="s">
        <v>87</v>
      </c>
      <c r="C22" s="37">
        <v>3071837501</v>
      </c>
      <c r="D22" s="37">
        <v>1417795291</v>
      </c>
      <c r="E22" s="37">
        <f>566160092-'A5 (Excluded Trans Plant)'!M21</f>
        <v>560881688.36000001</v>
      </c>
      <c r="F22" s="41">
        <v>5278403.6399999997</v>
      </c>
      <c r="G22" s="41">
        <f t="shared" si="0"/>
        <v>566160092</v>
      </c>
      <c r="H22" s="37">
        <v>271128817</v>
      </c>
      <c r="I22" s="37">
        <v>174961895</v>
      </c>
      <c r="J22" s="41">
        <f t="shared" si="1"/>
        <v>5501883596</v>
      </c>
    </row>
    <row r="23" spans="1:10" x14ac:dyDescent="0.25">
      <c r="A23" s="1">
        <f t="shared" si="2"/>
        <v>12</v>
      </c>
      <c r="B23" t="s">
        <v>88</v>
      </c>
      <c r="C23" s="37">
        <v>3075194753</v>
      </c>
      <c r="D23" s="37">
        <v>1421897091</v>
      </c>
      <c r="E23" s="37">
        <f>567099399-'A5 (Excluded Trans Plant)'!N21</f>
        <v>562520087.62</v>
      </c>
      <c r="F23" s="41">
        <v>4579311.379999999</v>
      </c>
      <c r="G23" s="41">
        <f t="shared" si="0"/>
        <v>567099399</v>
      </c>
      <c r="H23" s="37">
        <v>273005238</v>
      </c>
      <c r="I23" s="37">
        <v>175224495</v>
      </c>
      <c r="J23" s="41">
        <f t="shared" si="1"/>
        <v>5512420976</v>
      </c>
    </row>
    <row r="24" spans="1:10" x14ac:dyDescent="0.25">
      <c r="A24" s="1">
        <f t="shared" si="2"/>
        <v>13</v>
      </c>
      <c r="B24" t="s">
        <v>89</v>
      </c>
      <c r="C24" s="37">
        <v>3085141522</v>
      </c>
      <c r="D24" s="37">
        <v>1428009461</v>
      </c>
      <c r="E24" s="37">
        <f>567362094-'A5 (Excluded Trans Plant)'!O21</f>
        <v>562750080.30999994</v>
      </c>
      <c r="F24" s="41">
        <v>4612013.6899999995</v>
      </c>
      <c r="G24" s="41">
        <f t="shared" si="0"/>
        <v>567362094</v>
      </c>
      <c r="H24" s="37">
        <v>273852722</v>
      </c>
      <c r="I24" s="37">
        <v>175622403</v>
      </c>
      <c r="J24" s="41">
        <f t="shared" si="1"/>
        <v>5529988202</v>
      </c>
    </row>
    <row r="25" spans="1:10" x14ac:dyDescent="0.25">
      <c r="A25" s="1">
        <f t="shared" si="2"/>
        <v>14</v>
      </c>
      <c r="B25" t="s">
        <v>90</v>
      </c>
      <c r="C25" s="10">
        <f>'A1 (FF1 Inputs)'!E42-'A1 (FF1 Inputs)'!E38-'A1 (FF1 Inputs)'!E39-'A1 (FF1 Inputs)'!E40-'A1 (FF1 Inputs)'!E41</f>
        <v>3098236410</v>
      </c>
      <c r="D25" s="10">
        <f>'A1 (FF1 Inputs)'!E46-'A1 (FF1 Inputs)'!E45</f>
        <v>1434365456</v>
      </c>
      <c r="E25" s="41">
        <f>G25-F25</f>
        <v>567807644.97000003</v>
      </c>
      <c r="F25" s="10">
        <v>4687618.0299999993</v>
      </c>
      <c r="G25" s="10">
        <f>'A1 (FF1 Inputs)'!E44-'A1 (FF1 Inputs)'!E43</f>
        <v>572495263</v>
      </c>
      <c r="H25" s="10">
        <f>'A1 (FF1 Inputs)'!E48-'A1 (FF1 Inputs)'!E47</f>
        <v>274534528</v>
      </c>
      <c r="I25" s="10">
        <f>'A1 (FF1 Inputs)'!E37</f>
        <v>176677429</v>
      </c>
      <c r="J25" s="10">
        <f t="shared" si="1"/>
        <v>5556309086</v>
      </c>
    </row>
    <row r="26" spans="1:10" x14ac:dyDescent="0.25">
      <c r="A26" s="1">
        <f t="shared" si="2"/>
        <v>15</v>
      </c>
      <c r="B26" t="s">
        <v>369</v>
      </c>
      <c r="C26" s="19">
        <f>IFERROR(AVERAGE(C13:C25),0)</f>
        <v>3059809112.8461537</v>
      </c>
      <c r="D26" s="19">
        <f t="shared" ref="D26:J26" si="3">IFERROR(AVERAGE(D13:D25),0)</f>
        <v>1394522056.7692308</v>
      </c>
      <c r="E26" s="19">
        <f t="shared" si="3"/>
        <v>557524375.12923074</v>
      </c>
      <c r="F26" s="19">
        <f t="shared" si="3"/>
        <v>5020302.1784615377</v>
      </c>
      <c r="G26" s="19">
        <f t="shared" si="3"/>
        <v>562544677.30769229</v>
      </c>
      <c r="H26" s="19">
        <f t="shared" si="3"/>
        <v>266683139.23076922</v>
      </c>
      <c r="I26" s="19">
        <f t="shared" si="3"/>
        <v>172326050.61538461</v>
      </c>
      <c r="J26" s="19">
        <f t="shared" si="3"/>
        <v>5455885036.7692308</v>
      </c>
    </row>
    <row r="27" spans="1:10" x14ac:dyDescent="0.25">
      <c r="H27" s="220"/>
    </row>
    <row r="28" spans="1:10" ht="18.75" x14ac:dyDescent="0.25">
      <c r="A28"/>
      <c r="B28" s="21" t="s">
        <v>664</v>
      </c>
      <c r="C28" s="10"/>
    </row>
    <row r="29" spans="1:10" s="80" customFormat="1" ht="25.5" x14ac:dyDescent="0.25">
      <c r="A29" s="2">
        <f>A26+1</f>
        <v>16</v>
      </c>
      <c r="B29" s="78" t="s">
        <v>661</v>
      </c>
      <c r="C29" s="79" t="str">
        <f>'A1 (FF1 Inputs)'!$E$1&amp;", Lns. ("&amp;'A1 (FF1 Inputs)'!A38&amp;"+"&amp;'A1 (FF1 Inputs)'!A39&amp;"+"&amp;'A1 (FF1 Inputs)'!A40&amp;"+"&amp;'A1 (FF1 Inputs)'!A41&amp;")"</f>
        <v>Worksheet A1, Lns. (20+21+22+23)</v>
      </c>
      <c r="D29" s="79" t="str">
        <f>'A1 (FF1 Inputs)'!$E$1&amp;", Ln. "&amp;'A1 (FF1 Inputs)'!A45</f>
        <v>Worksheet A1, Ln. 27</v>
      </c>
      <c r="E29" s="79" t="s">
        <v>662</v>
      </c>
      <c r="F29" s="79" t="s">
        <v>663</v>
      </c>
      <c r="G29" s="79" t="str">
        <f>'A1 (FF1 Inputs)'!$E$1&amp;", Ln. "&amp;'A1 (FF1 Inputs)'!A43</f>
        <v>Worksheet A1, Ln. 25</v>
      </c>
      <c r="H29" s="79" t="str">
        <f>'A1 (FF1 Inputs)'!$E$1&amp;", Ln. "&amp;'A1 (FF1 Inputs)'!A47</f>
        <v>Worksheet A1, Ln. 29</v>
      </c>
      <c r="I29" s="79" t="s">
        <v>660</v>
      </c>
      <c r="J29" s="81"/>
    </row>
    <row r="30" spans="1:10" x14ac:dyDescent="0.25">
      <c r="A30" s="1">
        <f>A29+1</f>
        <v>17</v>
      </c>
      <c r="B30" t="s">
        <v>370</v>
      </c>
      <c r="C30" s="41">
        <f>'A1 (FF1 Inputs)'!D38+'A1 (FF1 Inputs)'!D39+'A1 (FF1 Inputs)'!D40+'A1 (FF1 Inputs)'!D41</f>
        <v>-38761099</v>
      </c>
      <c r="D30" s="41">
        <f>'A1 (FF1 Inputs)'!D45</f>
        <v>0</v>
      </c>
      <c r="E30" s="41">
        <f>G30-F30</f>
        <v>0</v>
      </c>
      <c r="F30" s="37">
        <v>0</v>
      </c>
      <c r="G30" s="41">
        <f>'A1 (FF1 Inputs)'!D43</f>
        <v>0</v>
      </c>
      <c r="H30" s="41">
        <f>'A1 (FF1 Inputs)'!D47</f>
        <v>87400</v>
      </c>
      <c r="I30" s="41">
        <v>0</v>
      </c>
      <c r="J30" s="41">
        <f>C30+D30+G30+H30+I30</f>
        <v>-38673699</v>
      </c>
    </row>
    <row r="31" spans="1:10" x14ac:dyDescent="0.25">
      <c r="A31" s="1">
        <f>A30+1</f>
        <v>18</v>
      </c>
      <c r="B31" t="s">
        <v>79</v>
      </c>
      <c r="C31" s="37">
        <v>-38761099</v>
      </c>
      <c r="D31" s="37">
        <v>0</v>
      </c>
      <c r="E31" s="37">
        <v>0</v>
      </c>
      <c r="F31" s="37">
        <v>0</v>
      </c>
      <c r="G31" s="41">
        <f t="shared" ref="G31:G41" si="4">E31+F31</f>
        <v>0</v>
      </c>
      <c r="H31" s="37">
        <v>87400</v>
      </c>
      <c r="I31" s="41">
        <v>0</v>
      </c>
      <c r="J31" s="41">
        <f t="shared" ref="J31:J42" si="5">C31+D31+G31+H31+I31</f>
        <v>-38673699</v>
      </c>
    </row>
    <row r="32" spans="1:10" x14ac:dyDescent="0.25">
      <c r="A32" s="1">
        <f t="shared" ref="A32:A43" si="6">A31+1</f>
        <v>19</v>
      </c>
      <c r="B32" t="s">
        <v>80</v>
      </c>
      <c r="C32" s="37">
        <v>-38761099</v>
      </c>
      <c r="D32" s="37">
        <v>0</v>
      </c>
      <c r="E32" s="37">
        <v>0</v>
      </c>
      <c r="F32" s="37">
        <v>0</v>
      </c>
      <c r="G32" s="41">
        <f t="shared" si="4"/>
        <v>0</v>
      </c>
      <c r="H32" s="37">
        <v>87400</v>
      </c>
      <c r="I32" s="41">
        <v>0</v>
      </c>
      <c r="J32" s="41">
        <f t="shared" si="5"/>
        <v>-38673699</v>
      </c>
    </row>
    <row r="33" spans="1:12" x14ac:dyDescent="0.25">
      <c r="A33" s="1">
        <f t="shared" si="6"/>
        <v>20</v>
      </c>
      <c r="B33" t="s">
        <v>81</v>
      </c>
      <c r="C33" s="37">
        <v>-38761099</v>
      </c>
      <c r="D33" s="37">
        <v>0</v>
      </c>
      <c r="E33" s="37">
        <v>0</v>
      </c>
      <c r="F33" s="37">
        <v>0</v>
      </c>
      <c r="G33" s="41">
        <f t="shared" si="4"/>
        <v>0</v>
      </c>
      <c r="H33" s="37">
        <v>87400</v>
      </c>
      <c r="I33" s="41">
        <v>0</v>
      </c>
      <c r="J33" s="41">
        <f t="shared" si="5"/>
        <v>-38673699</v>
      </c>
    </row>
    <row r="34" spans="1:12" x14ac:dyDescent="0.25">
      <c r="A34" s="1">
        <f t="shared" si="6"/>
        <v>21</v>
      </c>
      <c r="B34" t="s">
        <v>82</v>
      </c>
      <c r="C34" s="37">
        <v>-38761099</v>
      </c>
      <c r="D34" s="37">
        <v>0</v>
      </c>
      <c r="E34" s="37">
        <v>0</v>
      </c>
      <c r="F34" s="37">
        <v>0</v>
      </c>
      <c r="G34" s="41">
        <f t="shared" si="4"/>
        <v>0</v>
      </c>
      <c r="H34" s="37">
        <v>87400</v>
      </c>
      <c r="I34" s="41">
        <v>0</v>
      </c>
      <c r="J34" s="41">
        <f t="shared" si="5"/>
        <v>-38673699</v>
      </c>
    </row>
    <row r="35" spans="1:12" x14ac:dyDescent="0.25">
      <c r="A35" s="1">
        <f t="shared" si="6"/>
        <v>22</v>
      </c>
      <c r="B35" t="s">
        <v>83</v>
      </c>
      <c r="C35" s="37">
        <v>-38761099</v>
      </c>
      <c r="D35" s="37">
        <v>0</v>
      </c>
      <c r="E35" s="37">
        <v>0</v>
      </c>
      <c r="F35" s="37">
        <v>0</v>
      </c>
      <c r="G35" s="41">
        <f t="shared" si="4"/>
        <v>0</v>
      </c>
      <c r="H35" s="37">
        <v>87400</v>
      </c>
      <c r="I35" s="41">
        <v>0</v>
      </c>
      <c r="J35" s="41">
        <f t="shared" si="5"/>
        <v>-38673699</v>
      </c>
    </row>
    <row r="36" spans="1:12" x14ac:dyDescent="0.25">
      <c r="A36" s="1">
        <f t="shared" si="6"/>
        <v>23</v>
      </c>
      <c r="B36" t="s">
        <v>84</v>
      </c>
      <c r="C36" s="37">
        <v>-39719573</v>
      </c>
      <c r="D36" s="37">
        <v>0</v>
      </c>
      <c r="E36" s="37">
        <v>0</v>
      </c>
      <c r="F36" s="37">
        <v>0</v>
      </c>
      <c r="G36" s="41">
        <f t="shared" si="4"/>
        <v>0</v>
      </c>
      <c r="H36" s="37">
        <v>87400</v>
      </c>
      <c r="I36" s="41">
        <v>0</v>
      </c>
      <c r="J36" s="41">
        <f t="shared" si="5"/>
        <v>-39632173</v>
      </c>
    </row>
    <row r="37" spans="1:12" x14ac:dyDescent="0.25">
      <c r="A37" s="1">
        <f t="shared" si="6"/>
        <v>24</v>
      </c>
      <c r="B37" t="s">
        <v>85</v>
      </c>
      <c r="C37" s="37">
        <v>-39719573</v>
      </c>
      <c r="D37" s="37">
        <v>0</v>
      </c>
      <c r="E37" s="37">
        <v>0</v>
      </c>
      <c r="F37" s="37">
        <v>0</v>
      </c>
      <c r="G37" s="41">
        <f t="shared" si="4"/>
        <v>0</v>
      </c>
      <c r="H37" s="37">
        <v>87400</v>
      </c>
      <c r="I37" s="41">
        <v>0</v>
      </c>
      <c r="J37" s="41">
        <f t="shared" si="5"/>
        <v>-39632173</v>
      </c>
    </row>
    <row r="38" spans="1:12" x14ac:dyDescent="0.25">
      <c r="A38" s="1">
        <f t="shared" si="6"/>
        <v>25</v>
      </c>
      <c r="B38" t="s">
        <v>86</v>
      </c>
      <c r="C38" s="37">
        <v>-39719573</v>
      </c>
      <c r="D38" s="37">
        <v>0</v>
      </c>
      <c r="E38" s="37">
        <v>0</v>
      </c>
      <c r="F38" s="37">
        <v>0</v>
      </c>
      <c r="G38" s="41">
        <f t="shared" si="4"/>
        <v>0</v>
      </c>
      <c r="H38" s="37">
        <v>87400</v>
      </c>
      <c r="I38" s="41">
        <v>0</v>
      </c>
      <c r="J38" s="41">
        <f t="shared" si="5"/>
        <v>-39632173</v>
      </c>
    </row>
    <row r="39" spans="1:12" x14ac:dyDescent="0.25">
      <c r="A39" s="1">
        <f t="shared" si="6"/>
        <v>26</v>
      </c>
      <c r="B39" t="s">
        <v>87</v>
      </c>
      <c r="C39" s="37">
        <v>-39719573</v>
      </c>
      <c r="D39" s="37">
        <v>0</v>
      </c>
      <c r="E39" s="37">
        <v>0</v>
      </c>
      <c r="F39" s="37">
        <v>0</v>
      </c>
      <c r="G39" s="41">
        <f t="shared" si="4"/>
        <v>0</v>
      </c>
      <c r="H39" s="37">
        <v>87400</v>
      </c>
      <c r="I39" s="41">
        <v>0</v>
      </c>
      <c r="J39" s="41">
        <f t="shared" si="5"/>
        <v>-39632173</v>
      </c>
    </row>
    <row r="40" spans="1:12" x14ac:dyDescent="0.25">
      <c r="A40" s="1">
        <f t="shared" si="6"/>
        <v>27</v>
      </c>
      <c r="B40" t="s">
        <v>88</v>
      </c>
      <c r="C40" s="37">
        <v>-39719573</v>
      </c>
      <c r="D40" s="37">
        <v>0</v>
      </c>
      <c r="E40" s="37">
        <v>0</v>
      </c>
      <c r="F40" s="37">
        <v>0</v>
      </c>
      <c r="G40" s="41">
        <f t="shared" si="4"/>
        <v>0</v>
      </c>
      <c r="H40" s="37">
        <v>87400</v>
      </c>
      <c r="I40" s="41">
        <v>0</v>
      </c>
      <c r="J40" s="41">
        <f t="shared" si="5"/>
        <v>-39632173</v>
      </c>
    </row>
    <row r="41" spans="1:12" x14ac:dyDescent="0.25">
      <c r="A41" s="1">
        <f t="shared" si="6"/>
        <v>28</v>
      </c>
      <c r="B41" t="s">
        <v>89</v>
      </c>
      <c r="C41" s="37">
        <v>-39719573</v>
      </c>
      <c r="D41" s="37">
        <v>0</v>
      </c>
      <c r="E41" s="37">
        <v>0</v>
      </c>
      <c r="F41" s="37">
        <v>0</v>
      </c>
      <c r="G41" s="41">
        <f t="shared" si="4"/>
        <v>0</v>
      </c>
      <c r="H41" s="37">
        <v>87400</v>
      </c>
      <c r="I41" s="41">
        <v>0</v>
      </c>
      <c r="J41" s="41">
        <f t="shared" si="5"/>
        <v>-39632173</v>
      </c>
    </row>
    <row r="42" spans="1:12" x14ac:dyDescent="0.25">
      <c r="A42" s="1">
        <f t="shared" si="6"/>
        <v>29</v>
      </c>
      <c r="B42" t="s">
        <v>90</v>
      </c>
      <c r="C42" s="10">
        <f>'A1 (FF1 Inputs)'!E38+'A1 (FF1 Inputs)'!E39+'A1 (FF1 Inputs)'!E40+'A1 (FF1 Inputs)'!E41</f>
        <v>-39719573</v>
      </c>
      <c r="D42" s="10">
        <f>'A1 (FF1 Inputs)'!E45</f>
        <v>0</v>
      </c>
      <c r="E42" s="41">
        <f>G42-F42</f>
        <v>0</v>
      </c>
      <c r="F42" s="20">
        <v>0</v>
      </c>
      <c r="G42" s="10">
        <f>'A1 (FF1 Inputs)'!E43</f>
        <v>0</v>
      </c>
      <c r="H42" s="10">
        <f>'A1 (FF1 Inputs)'!E47</f>
        <v>87400</v>
      </c>
      <c r="I42" s="10">
        <v>0</v>
      </c>
      <c r="J42" s="10">
        <f t="shared" si="5"/>
        <v>-39632173</v>
      </c>
    </row>
    <row r="43" spans="1:12" x14ac:dyDescent="0.25">
      <c r="A43" s="1">
        <f t="shared" si="6"/>
        <v>30</v>
      </c>
      <c r="B43" t="s">
        <v>369</v>
      </c>
      <c r="C43" s="19">
        <f>IFERROR(AVERAGE(C30:C42),0)</f>
        <v>-39277200.384615384</v>
      </c>
      <c r="D43" s="19">
        <f t="shared" ref="D43" si="7">IFERROR(AVERAGE(D30:D42),0)</f>
        <v>0</v>
      </c>
      <c r="E43" s="19">
        <f t="shared" ref="E43" si="8">IFERROR(AVERAGE(E30:E42),0)</f>
        <v>0</v>
      </c>
      <c r="F43" s="19">
        <f t="shared" ref="F43" si="9">IFERROR(AVERAGE(F30:F42),0)</f>
        <v>0</v>
      </c>
      <c r="G43" s="19">
        <f t="shared" ref="G43" si="10">IFERROR(AVERAGE(G30:G42),0)</f>
        <v>0</v>
      </c>
      <c r="H43" s="19">
        <f t="shared" ref="H43" si="11">IFERROR(AVERAGE(H30:H42),0)</f>
        <v>87400</v>
      </c>
      <c r="I43" s="19">
        <f>IFERROR(AVERAGE(I30:I42),0)</f>
        <v>0</v>
      </c>
      <c r="J43" s="19">
        <f t="shared" ref="J43" si="12">IFERROR(AVERAGE(J30:J42),0)</f>
        <v>-39189800.384615384</v>
      </c>
    </row>
    <row r="45" spans="1:12" ht="18.75" x14ac:dyDescent="0.25">
      <c r="A45"/>
      <c r="B45" s="21" t="s">
        <v>668</v>
      </c>
    </row>
    <row r="46" spans="1:12" x14ac:dyDescent="0.25">
      <c r="A46" s="1">
        <f>A43+1</f>
        <v>31</v>
      </c>
      <c r="B46" t="s">
        <v>370</v>
      </c>
      <c r="C46" s="37">
        <v>1599675806</v>
      </c>
      <c r="D46" s="37">
        <v>394919970</v>
      </c>
      <c r="E46" s="37">
        <v>238445220</v>
      </c>
      <c r="F46" s="37">
        <v>0</v>
      </c>
      <c r="G46" s="41">
        <f>E46+F46</f>
        <v>238445220</v>
      </c>
      <c r="H46" s="37">
        <v>84593521</v>
      </c>
      <c r="I46" s="37">
        <v>69422088</v>
      </c>
      <c r="J46" s="41">
        <f>C46+D46+G46+H46+I46</f>
        <v>2387056605</v>
      </c>
      <c r="L46" s="10"/>
    </row>
    <row r="47" spans="1:12" x14ac:dyDescent="0.25">
      <c r="A47" s="1">
        <f>A46+1</f>
        <v>32</v>
      </c>
      <c r="B47" t="s">
        <v>79</v>
      </c>
      <c r="C47" s="37">
        <v>1595241532</v>
      </c>
      <c r="D47" s="37">
        <v>396022933</v>
      </c>
      <c r="E47" s="37">
        <v>242578019</v>
      </c>
      <c r="F47" s="37">
        <v>0</v>
      </c>
      <c r="G47" s="41">
        <f t="shared" ref="G47:G58" si="13">E47+F47</f>
        <v>242578019</v>
      </c>
      <c r="H47" s="37">
        <v>88801117</v>
      </c>
      <c r="I47" s="37">
        <v>70154964.983999997</v>
      </c>
      <c r="J47" s="41">
        <f t="shared" ref="J47:J58" si="14">C47+D47+G47+H47+I47</f>
        <v>2392798565.9840002</v>
      </c>
      <c r="L47" s="10"/>
    </row>
    <row r="48" spans="1:12" x14ac:dyDescent="0.25">
      <c r="A48" s="1">
        <f t="shared" ref="A48:A59" si="15">A47+1</f>
        <v>33</v>
      </c>
      <c r="B48" t="s">
        <v>80</v>
      </c>
      <c r="C48" s="37">
        <v>1599585641</v>
      </c>
      <c r="D48" s="37">
        <v>397214876</v>
      </c>
      <c r="E48" s="37">
        <v>243239782</v>
      </c>
      <c r="F48" s="37">
        <v>0</v>
      </c>
      <c r="G48" s="41">
        <f t="shared" si="13"/>
        <v>243239782</v>
      </c>
      <c r="H48" s="37">
        <v>90066664</v>
      </c>
      <c r="I48" s="37">
        <v>70906382.123999998</v>
      </c>
      <c r="J48" s="41">
        <f t="shared" si="14"/>
        <v>2401013345.1240001</v>
      </c>
      <c r="L48" s="10"/>
    </row>
    <row r="49" spans="1:12" x14ac:dyDescent="0.25">
      <c r="A49" s="1">
        <f t="shared" si="15"/>
        <v>34</v>
      </c>
      <c r="B49" t="s">
        <v>81</v>
      </c>
      <c r="C49" s="37">
        <v>1603751543</v>
      </c>
      <c r="D49" s="37">
        <v>398790934</v>
      </c>
      <c r="E49" s="37">
        <v>243914529</v>
      </c>
      <c r="F49" s="37">
        <v>0</v>
      </c>
      <c r="G49" s="41">
        <f t="shared" si="13"/>
        <v>243914529</v>
      </c>
      <c r="H49" s="37">
        <v>91164408</v>
      </c>
      <c r="I49" s="37">
        <v>71662603</v>
      </c>
      <c r="J49" s="41">
        <f t="shared" si="14"/>
        <v>2409284017</v>
      </c>
      <c r="L49" s="10"/>
    </row>
    <row r="50" spans="1:12" x14ac:dyDescent="0.25">
      <c r="A50" s="1">
        <f t="shared" si="15"/>
        <v>35</v>
      </c>
      <c r="B50" t="s">
        <v>82</v>
      </c>
      <c r="C50" s="37">
        <v>1607478934</v>
      </c>
      <c r="D50" s="37">
        <v>400309274</v>
      </c>
      <c r="E50" s="37">
        <v>244588948</v>
      </c>
      <c r="F50" s="37">
        <v>0</v>
      </c>
      <c r="G50" s="41">
        <f t="shared" si="13"/>
        <v>244588948</v>
      </c>
      <c r="H50" s="37">
        <v>92346430</v>
      </c>
      <c r="I50" s="37">
        <v>72413676.173999995</v>
      </c>
      <c r="J50" s="41">
        <f t="shared" si="14"/>
        <v>2417137262.1739998</v>
      </c>
      <c r="L50" s="10"/>
    </row>
    <row r="51" spans="1:12" x14ac:dyDescent="0.25">
      <c r="A51" s="1">
        <f t="shared" si="15"/>
        <v>36</v>
      </c>
      <c r="B51" t="s">
        <v>83</v>
      </c>
      <c r="C51" s="37">
        <v>1611546958</v>
      </c>
      <c r="D51" s="37">
        <v>402018095</v>
      </c>
      <c r="E51" s="37">
        <v>245264455</v>
      </c>
      <c r="F51" s="37">
        <v>0</v>
      </c>
      <c r="G51" s="41">
        <f t="shared" si="13"/>
        <v>245264455</v>
      </c>
      <c r="H51" s="37">
        <v>93517785</v>
      </c>
      <c r="I51" s="37">
        <v>73164216.503999993</v>
      </c>
      <c r="J51" s="41">
        <f t="shared" si="14"/>
        <v>2425511509.5040002</v>
      </c>
      <c r="L51" s="10"/>
    </row>
    <row r="52" spans="1:12" x14ac:dyDescent="0.25">
      <c r="A52" s="1">
        <f t="shared" si="15"/>
        <v>37</v>
      </c>
      <c r="B52" t="s">
        <v>84</v>
      </c>
      <c r="C52" s="37">
        <v>1616047965</v>
      </c>
      <c r="D52" s="37">
        <v>403046248</v>
      </c>
      <c r="E52" s="37">
        <v>245940908</v>
      </c>
      <c r="F52" s="37">
        <v>0</v>
      </c>
      <c r="G52" s="41">
        <f t="shared" si="13"/>
        <v>245940908</v>
      </c>
      <c r="H52" s="37">
        <v>95155077</v>
      </c>
      <c r="I52" s="37">
        <v>73918609</v>
      </c>
      <c r="J52" s="41">
        <f t="shared" si="14"/>
        <v>2434108807</v>
      </c>
      <c r="L52" s="10"/>
    </row>
    <row r="53" spans="1:12" x14ac:dyDescent="0.25">
      <c r="A53" s="1">
        <f t="shared" si="15"/>
        <v>38</v>
      </c>
      <c r="B53" t="s">
        <v>85</v>
      </c>
      <c r="C53" s="37">
        <v>1615366162</v>
      </c>
      <c r="D53" s="37">
        <v>404854240</v>
      </c>
      <c r="E53" s="37">
        <v>246618567</v>
      </c>
      <c r="F53" s="37">
        <v>0</v>
      </c>
      <c r="G53" s="41">
        <f t="shared" si="13"/>
        <v>246618567</v>
      </c>
      <c r="H53" s="37">
        <v>95839665</v>
      </c>
      <c r="I53" s="37">
        <v>74674117.113999993</v>
      </c>
      <c r="J53" s="41">
        <f t="shared" si="14"/>
        <v>2437352751.1139998</v>
      </c>
      <c r="L53" s="10"/>
    </row>
    <row r="54" spans="1:12" x14ac:dyDescent="0.25">
      <c r="A54" s="1">
        <f t="shared" si="15"/>
        <v>39</v>
      </c>
      <c r="B54" t="s">
        <v>86</v>
      </c>
      <c r="C54" s="37">
        <v>1619830454</v>
      </c>
      <c r="D54" s="37">
        <v>406625514</v>
      </c>
      <c r="E54" s="37">
        <v>247287300</v>
      </c>
      <c r="F54" s="37">
        <v>0</v>
      </c>
      <c r="G54" s="41">
        <f t="shared" si="13"/>
        <v>247287300</v>
      </c>
      <c r="H54" s="37">
        <v>97036675</v>
      </c>
      <c r="I54" s="37">
        <v>75520532.583999991</v>
      </c>
      <c r="J54" s="41">
        <f t="shared" si="14"/>
        <v>2446300475.5840001</v>
      </c>
      <c r="L54" s="10"/>
    </row>
    <row r="55" spans="1:12" x14ac:dyDescent="0.25">
      <c r="A55" s="1">
        <f t="shared" si="15"/>
        <v>40</v>
      </c>
      <c r="B55" t="s">
        <v>87</v>
      </c>
      <c r="C55" s="37">
        <v>1625965986</v>
      </c>
      <c r="D55" s="37">
        <v>407668399</v>
      </c>
      <c r="E55" s="37">
        <v>247961679</v>
      </c>
      <c r="F55" s="37">
        <v>0</v>
      </c>
      <c r="G55" s="41">
        <f t="shared" si="13"/>
        <v>247961679</v>
      </c>
      <c r="H55" s="37">
        <v>98112178</v>
      </c>
      <c r="I55" s="37">
        <v>76376443</v>
      </c>
      <c r="J55" s="41">
        <f t="shared" si="14"/>
        <v>2456084685</v>
      </c>
      <c r="L55" s="10"/>
    </row>
    <row r="56" spans="1:12" x14ac:dyDescent="0.25">
      <c r="A56" s="1">
        <f t="shared" si="15"/>
        <v>41</v>
      </c>
      <c r="B56" t="s">
        <v>88</v>
      </c>
      <c r="C56" s="37">
        <v>1629392999</v>
      </c>
      <c r="D56" s="37">
        <v>408852229</v>
      </c>
      <c r="E56" s="37">
        <v>248682788</v>
      </c>
      <c r="F56" s="37">
        <v>0</v>
      </c>
      <c r="G56" s="41">
        <f t="shared" si="13"/>
        <v>248682788</v>
      </c>
      <c r="H56" s="37">
        <v>99311465</v>
      </c>
      <c r="I56" s="37">
        <v>76976844.464000002</v>
      </c>
      <c r="J56" s="41">
        <f t="shared" si="14"/>
        <v>2463216325.4640002</v>
      </c>
      <c r="L56" s="10"/>
    </row>
    <row r="57" spans="1:12" x14ac:dyDescent="0.25">
      <c r="A57" s="1">
        <f t="shared" si="15"/>
        <v>42</v>
      </c>
      <c r="B57" t="s">
        <v>89</v>
      </c>
      <c r="C57" s="37">
        <v>1634425943</v>
      </c>
      <c r="D57" s="37">
        <v>410380286</v>
      </c>
      <c r="E57" s="37">
        <v>249314502</v>
      </c>
      <c r="F57" s="37">
        <v>0</v>
      </c>
      <c r="G57" s="41">
        <f t="shared" si="13"/>
        <v>249314502</v>
      </c>
      <c r="H57" s="37">
        <v>100551868</v>
      </c>
      <c r="I57" s="37">
        <v>77767498.063999996</v>
      </c>
      <c r="J57" s="41">
        <f t="shared" si="14"/>
        <v>2472440097.0640001</v>
      </c>
      <c r="L57" s="10"/>
    </row>
    <row r="58" spans="1:12" x14ac:dyDescent="0.25">
      <c r="A58" s="1">
        <f t="shared" si="15"/>
        <v>43</v>
      </c>
      <c r="B58" t="s">
        <v>90</v>
      </c>
      <c r="C58" s="20">
        <v>1642072629</v>
      </c>
      <c r="D58" s="20">
        <v>411767806</v>
      </c>
      <c r="E58" s="20">
        <v>245923473</v>
      </c>
      <c r="F58" s="20">
        <v>0</v>
      </c>
      <c r="G58" s="10">
        <f t="shared" si="13"/>
        <v>245923473</v>
      </c>
      <c r="H58" s="20">
        <v>96664623</v>
      </c>
      <c r="I58" s="20">
        <v>78561792</v>
      </c>
      <c r="J58" s="10">
        <f t="shared" si="14"/>
        <v>2474990323</v>
      </c>
    </row>
    <row r="59" spans="1:12" x14ac:dyDescent="0.25">
      <c r="A59" s="1">
        <f t="shared" si="15"/>
        <v>44</v>
      </c>
      <c r="B59" t="s">
        <v>369</v>
      </c>
      <c r="C59" s="19">
        <f>IFERROR(AVERAGE(C46:C58),0)</f>
        <v>1615414042.4615386</v>
      </c>
      <c r="D59" s="19">
        <f t="shared" ref="D59" si="16">IFERROR(AVERAGE(D46:D58),0)</f>
        <v>403266984.92307693</v>
      </c>
      <c r="E59" s="19">
        <f t="shared" ref="E59" si="17">IFERROR(AVERAGE(E46:E58),0)</f>
        <v>245366166.92307693</v>
      </c>
      <c r="F59" s="19">
        <f t="shared" ref="F59" si="18">IFERROR(AVERAGE(F46:F58),0)</f>
        <v>0</v>
      </c>
      <c r="G59" s="19">
        <f t="shared" ref="G59" si="19">IFERROR(AVERAGE(G46:G58),0)</f>
        <v>245366166.92307693</v>
      </c>
      <c r="H59" s="19">
        <f t="shared" ref="H59" si="20">IFERROR(AVERAGE(H46:H58),0)</f>
        <v>94089344.307692304</v>
      </c>
      <c r="I59" s="19">
        <f t="shared" ref="I59" si="21">IFERROR(AVERAGE(I46:I58),0)</f>
        <v>73963059.000923067</v>
      </c>
      <c r="J59" s="19">
        <f t="shared" ref="J59" si="22">IFERROR(AVERAGE(J46:J58),0)</f>
        <v>2432099597.6163073</v>
      </c>
    </row>
    <row r="61" spans="1:12" ht="18.75" x14ac:dyDescent="0.25">
      <c r="A61"/>
      <c r="B61" s="21" t="s">
        <v>667</v>
      </c>
    </row>
    <row r="62" spans="1:12" x14ac:dyDescent="0.25">
      <c r="A62" s="1">
        <f>A59+1</f>
        <v>45</v>
      </c>
      <c r="B62" t="s">
        <v>370</v>
      </c>
      <c r="C62" s="37">
        <v>-5090010</v>
      </c>
      <c r="D62" s="37">
        <v>0</v>
      </c>
      <c r="E62" s="37">
        <v>0</v>
      </c>
      <c r="F62" s="37">
        <v>0</v>
      </c>
      <c r="G62" s="41">
        <f>E62+F62</f>
        <v>0</v>
      </c>
      <c r="H62" s="37">
        <v>18246</v>
      </c>
      <c r="I62" s="41">
        <v>0</v>
      </c>
      <c r="J62" s="41">
        <f>C62+D62+G62+H62+I62</f>
        <v>-5071764</v>
      </c>
    </row>
    <row r="63" spans="1:12" x14ac:dyDescent="0.25">
      <c r="A63" s="1">
        <f>A62+1</f>
        <v>46</v>
      </c>
      <c r="B63" t="s">
        <v>79</v>
      </c>
      <c r="C63" s="37">
        <v>-5213602</v>
      </c>
      <c r="D63" s="37">
        <v>0</v>
      </c>
      <c r="E63" s="37">
        <v>0</v>
      </c>
      <c r="F63" s="37">
        <v>0</v>
      </c>
      <c r="G63" s="41">
        <f t="shared" ref="G63:G74" si="23">E63+F63</f>
        <v>0</v>
      </c>
      <c r="H63" s="37">
        <v>31206</v>
      </c>
      <c r="I63" s="41">
        <v>0</v>
      </c>
      <c r="J63" s="41">
        <f t="shared" ref="J63:J74" si="24">C63+D63+G63+H63+I63</f>
        <v>-5182396</v>
      </c>
    </row>
    <row r="64" spans="1:12" x14ac:dyDescent="0.25">
      <c r="A64" s="1">
        <f t="shared" ref="A64:A75" si="25">A63+1</f>
        <v>47</v>
      </c>
      <c r="B64" t="s">
        <v>80</v>
      </c>
      <c r="C64" s="37">
        <v>-5390604</v>
      </c>
      <c r="D64" s="37">
        <v>0</v>
      </c>
      <c r="E64" s="37">
        <v>0</v>
      </c>
      <c r="F64" s="37">
        <v>0</v>
      </c>
      <c r="G64" s="41">
        <f t="shared" si="23"/>
        <v>0</v>
      </c>
      <c r="H64" s="37">
        <v>19352</v>
      </c>
      <c r="I64" s="41">
        <v>0</v>
      </c>
      <c r="J64" s="41">
        <f t="shared" si="24"/>
        <v>-5371252</v>
      </c>
    </row>
    <row r="65" spans="1:10" x14ac:dyDescent="0.25">
      <c r="A65" s="1">
        <f t="shared" si="25"/>
        <v>48</v>
      </c>
      <c r="B65" t="s">
        <v>81</v>
      </c>
      <c r="C65" s="37">
        <v>-5423567</v>
      </c>
      <c r="D65" s="37">
        <v>0</v>
      </c>
      <c r="E65" s="37">
        <v>0</v>
      </c>
      <c r="F65" s="37">
        <v>0</v>
      </c>
      <c r="G65" s="41">
        <f t="shared" si="23"/>
        <v>0</v>
      </c>
      <c r="H65" s="37">
        <v>19905</v>
      </c>
      <c r="I65" s="41">
        <v>0</v>
      </c>
      <c r="J65" s="41">
        <f t="shared" si="24"/>
        <v>-5403662</v>
      </c>
    </row>
    <row r="66" spans="1:10" x14ac:dyDescent="0.25">
      <c r="A66" s="1">
        <f t="shared" si="25"/>
        <v>49</v>
      </c>
      <c r="B66" t="s">
        <v>82</v>
      </c>
      <c r="C66" s="37">
        <v>-5534753</v>
      </c>
      <c r="D66" s="37">
        <v>0</v>
      </c>
      <c r="E66" s="37">
        <v>0</v>
      </c>
      <c r="F66" s="37">
        <v>0</v>
      </c>
      <c r="G66" s="41">
        <f t="shared" si="23"/>
        <v>0</v>
      </c>
      <c r="H66" s="37">
        <v>20458</v>
      </c>
      <c r="I66" s="41">
        <v>0</v>
      </c>
      <c r="J66" s="41">
        <f t="shared" si="24"/>
        <v>-5514295</v>
      </c>
    </row>
    <row r="67" spans="1:10" x14ac:dyDescent="0.25">
      <c r="A67" s="1">
        <f t="shared" si="25"/>
        <v>50</v>
      </c>
      <c r="B67" t="s">
        <v>83</v>
      </c>
      <c r="C67" s="37">
        <v>-5645938</v>
      </c>
      <c r="D67" s="37">
        <v>0</v>
      </c>
      <c r="E67" s="37">
        <v>0</v>
      </c>
      <c r="F67" s="37">
        <v>0</v>
      </c>
      <c r="G67" s="41">
        <f t="shared" si="23"/>
        <v>0</v>
      </c>
      <c r="H67" s="37">
        <v>21011</v>
      </c>
      <c r="I67" s="41">
        <v>0</v>
      </c>
      <c r="J67" s="41">
        <f t="shared" si="24"/>
        <v>-5624927</v>
      </c>
    </row>
    <row r="68" spans="1:10" x14ac:dyDescent="0.25">
      <c r="A68" s="1">
        <f t="shared" si="25"/>
        <v>51</v>
      </c>
      <c r="B68" t="s">
        <v>84</v>
      </c>
      <c r="C68" s="37">
        <v>-5757123</v>
      </c>
      <c r="D68" s="37">
        <v>0</v>
      </c>
      <c r="E68" s="37">
        <v>0</v>
      </c>
      <c r="F68" s="37">
        <v>0</v>
      </c>
      <c r="G68" s="41">
        <f t="shared" si="23"/>
        <v>0</v>
      </c>
      <c r="H68" s="37">
        <v>21564</v>
      </c>
      <c r="I68" s="41">
        <v>0</v>
      </c>
      <c r="J68" s="41">
        <f t="shared" si="24"/>
        <v>-5735559</v>
      </c>
    </row>
    <row r="69" spans="1:10" x14ac:dyDescent="0.25">
      <c r="A69" s="1">
        <f t="shared" si="25"/>
        <v>52</v>
      </c>
      <c r="B69" t="s">
        <v>85</v>
      </c>
      <c r="C69" s="37">
        <v>-5868308</v>
      </c>
      <c r="D69" s="37">
        <v>0</v>
      </c>
      <c r="E69" s="37">
        <v>0</v>
      </c>
      <c r="F69" s="37">
        <v>0</v>
      </c>
      <c r="G69" s="41">
        <f t="shared" si="23"/>
        <v>0</v>
      </c>
      <c r="H69" s="37">
        <v>22117</v>
      </c>
      <c r="I69" s="41">
        <v>0</v>
      </c>
      <c r="J69" s="41">
        <f t="shared" si="24"/>
        <v>-5846191</v>
      </c>
    </row>
    <row r="70" spans="1:10" x14ac:dyDescent="0.25">
      <c r="A70" s="1">
        <f t="shared" si="25"/>
        <v>53</v>
      </c>
      <c r="B70" t="s">
        <v>86</v>
      </c>
      <c r="C70" s="37">
        <v>-5979492</v>
      </c>
      <c r="D70" s="37">
        <v>0</v>
      </c>
      <c r="E70" s="37">
        <v>0</v>
      </c>
      <c r="F70" s="37">
        <v>0</v>
      </c>
      <c r="G70" s="41">
        <f t="shared" si="23"/>
        <v>0</v>
      </c>
      <c r="H70" s="37">
        <v>22670</v>
      </c>
      <c r="I70" s="41">
        <v>0</v>
      </c>
      <c r="J70" s="41">
        <f t="shared" si="24"/>
        <v>-5956822</v>
      </c>
    </row>
    <row r="71" spans="1:10" x14ac:dyDescent="0.25">
      <c r="A71" s="1">
        <f t="shared" si="25"/>
        <v>54</v>
      </c>
      <c r="B71" t="s">
        <v>87</v>
      </c>
      <c r="C71" s="37">
        <v>-6090677</v>
      </c>
      <c r="D71" s="37">
        <v>0</v>
      </c>
      <c r="E71" s="37">
        <v>0</v>
      </c>
      <c r="F71" s="37">
        <v>0</v>
      </c>
      <c r="G71" s="41">
        <f t="shared" si="23"/>
        <v>0</v>
      </c>
      <c r="H71" s="37">
        <v>23223</v>
      </c>
      <c r="I71" s="41">
        <v>0</v>
      </c>
      <c r="J71" s="41">
        <f t="shared" si="24"/>
        <v>-6067454</v>
      </c>
    </row>
    <row r="72" spans="1:10" x14ac:dyDescent="0.25">
      <c r="A72" s="1">
        <f t="shared" si="25"/>
        <v>55</v>
      </c>
      <c r="B72" t="s">
        <v>88</v>
      </c>
      <c r="C72" s="37">
        <v>-6201861</v>
      </c>
      <c r="D72" s="37">
        <v>0</v>
      </c>
      <c r="E72" s="37">
        <v>0</v>
      </c>
      <c r="F72" s="37">
        <v>0</v>
      </c>
      <c r="G72" s="41">
        <f t="shared" si="23"/>
        <v>0</v>
      </c>
      <c r="H72" s="37">
        <v>23776</v>
      </c>
      <c r="I72" s="41">
        <v>0</v>
      </c>
      <c r="J72" s="41">
        <f t="shared" si="24"/>
        <v>-6178085</v>
      </c>
    </row>
    <row r="73" spans="1:10" x14ac:dyDescent="0.25">
      <c r="A73" s="1">
        <f t="shared" si="25"/>
        <v>56</v>
      </c>
      <c r="B73" t="s">
        <v>89</v>
      </c>
      <c r="C73" s="37">
        <v>-6313046</v>
      </c>
      <c r="D73" s="37">
        <v>0</v>
      </c>
      <c r="E73" s="37">
        <v>0</v>
      </c>
      <c r="F73" s="37">
        <v>0</v>
      </c>
      <c r="G73" s="41">
        <f t="shared" si="23"/>
        <v>0</v>
      </c>
      <c r="H73" s="37">
        <v>24328</v>
      </c>
      <c r="I73" s="41">
        <v>0</v>
      </c>
      <c r="J73" s="41">
        <f t="shared" si="24"/>
        <v>-6288718</v>
      </c>
    </row>
    <row r="74" spans="1:10" x14ac:dyDescent="0.25">
      <c r="A74" s="1">
        <f t="shared" si="25"/>
        <v>57</v>
      </c>
      <c r="B74" t="s">
        <v>90</v>
      </c>
      <c r="C74" s="20">
        <v>-6424265</v>
      </c>
      <c r="D74" s="20">
        <v>0</v>
      </c>
      <c r="E74" s="20">
        <v>0</v>
      </c>
      <c r="F74" s="20">
        <v>0</v>
      </c>
      <c r="G74" s="10">
        <f t="shared" si="23"/>
        <v>0</v>
      </c>
      <c r="H74" s="20">
        <v>24881</v>
      </c>
      <c r="I74" s="10">
        <v>0</v>
      </c>
      <c r="J74" s="10">
        <f t="shared" si="24"/>
        <v>-6399384</v>
      </c>
    </row>
    <row r="75" spans="1:10" x14ac:dyDescent="0.25">
      <c r="A75" s="1">
        <f t="shared" si="25"/>
        <v>58</v>
      </c>
      <c r="B75" t="s">
        <v>369</v>
      </c>
      <c r="C75" s="19">
        <f>IFERROR(AVERAGE(C62:C74),0)</f>
        <v>-5764095.846153846</v>
      </c>
      <c r="D75" s="19">
        <f t="shared" ref="D75" si="26">IFERROR(AVERAGE(D62:D74),0)</f>
        <v>0</v>
      </c>
      <c r="E75" s="19">
        <f t="shared" ref="E75" si="27">IFERROR(AVERAGE(E62:E74),0)</f>
        <v>0</v>
      </c>
      <c r="F75" s="19">
        <f t="shared" ref="F75" si="28">IFERROR(AVERAGE(F62:F74),0)</f>
        <v>0</v>
      </c>
      <c r="G75" s="19">
        <f t="shared" ref="G75" si="29">IFERROR(AVERAGE(G62:G74),0)</f>
        <v>0</v>
      </c>
      <c r="H75" s="19">
        <f t="shared" ref="H75" si="30">IFERROR(AVERAGE(H62:H74),0)</f>
        <v>22518.23076923077</v>
      </c>
      <c r="I75" s="19">
        <f t="shared" ref="I75" si="31">IFERROR(AVERAGE(I62:I74),0)</f>
        <v>0</v>
      </c>
      <c r="J75" s="19">
        <f t="shared" ref="J75" si="32">IFERROR(AVERAGE(J62:J74),0)</f>
        <v>-5741577.615384615</v>
      </c>
    </row>
    <row r="76" spans="1:10" ht="5.25" customHeight="1" x14ac:dyDescent="0.25">
      <c r="A76" s="14"/>
      <c r="B76" s="5"/>
      <c r="C76" s="5"/>
      <c r="D76" s="5"/>
      <c r="E76" s="5"/>
      <c r="F76" s="5"/>
      <c r="G76" s="5"/>
      <c r="H76" s="5"/>
      <c r="I76" s="5"/>
      <c r="J76" s="5"/>
    </row>
    <row r="77" spans="1:10" ht="5.25" customHeight="1" x14ac:dyDescent="0.25"/>
    <row r="78" spans="1:10" x14ac:dyDescent="0.25">
      <c r="A78" s="22" t="str">
        <f>note</f>
        <v>Notes and Sources:</v>
      </c>
    </row>
    <row r="79" spans="1:10" ht="18.75" x14ac:dyDescent="0.25">
      <c r="A79" s="23">
        <v>1</v>
      </c>
      <c r="B79" t="str">
        <f>"Unless otherwise stated, source of shaded cells is company input/records. Sources for certain BOY/EOY gross plant balances are listed on lines "&amp;A12&amp;" and "&amp;A29&amp;"."</f>
        <v>Unless otherwise stated, source of shaded cells is company input/records. Sources for certain BOY/EOY gross plant balances are listed on lines 1 and 16.</v>
      </c>
      <c r="J79" s="1"/>
    </row>
    <row r="80" spans="1:10" ht="18.75" x14ac:dyDescent="0.25">
      <c r="A80" s="23">
        <v>2</v>
      </c>
      <c r="B80" t="s">
        <v>666</v>
      </c>
      <c r="J80" s="1"/>
    </row>
    <row r="81" spans="1:10" ht="18.75" x14ac:dyDescent="0.25">
      <c r="A81" s="23">
        <v>3</v>
      </c>
      <c r="B81" t="s">
        <v>1022</v>
      </c>
      <c r="J81" s="1"/>
    </row>
    <row r="82" spans="1:10" ht="5.25" customHeight="1" thickBot="1" x14ac:dyDescent="0.3">
      <c r="A82" s="24"/>
      <c r="B82" s="4"/>
      <c r="C82" s="4"/>
      <c r="D82" s="4"/>
      <c r="E82" s="4"/>
      <c r="F82" s="4"/>
      <c r="G82" s="4"/>
      <c r="H82" s="4"/>
      <c r="I82" s="4"/>
      <c r="J82" s="4"/>
    </row>
    <row r="83" spans="1:10" ht="5.25" customHeight="1" thickTop="1" x14ac:dyDescent="0.25"/>
  </sheetData>
  <mergeCells count="1">
    <mergeCell ref="A7:A8"/>
  </mergeCells>
  <phoneticPr fontId="7" type="noConversion"/>
  <pageMargins left="0.7" right="0.7" top="0.75" bottom="0.75" header="0.3" footer="0.3"/>
  <pageSetup scale="70" fitToHeight="0" orientation="landscape" horizontalDpi="1200" verticalDpi="1200" r:id="rId1"/>
  <headerFooter>
    <oddFooter>&amp;L&amp;6{W0327924.2 }</oddFooter>
  </headerFooter>
  <rowBreaks count="1" manualBreakCount="1">
    <brk id="4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Q30"/>
  <sheetViews>
    <sheetView workbookViewId="0"/>
  </sheetViews>
  <sheetFormatPr defaultRowHeight="15.75" x14ac:dyDescent="0.25"/>
  <cols>
    <col min="1" max="1" width="4.25" style="1" customWidth="1"/>
    <col min="2" max="2" width="39.25" customWidth="1"/>
    <col min="3" max="3" width="40.125" customWidth="1"/>
    <col min="4" max="16" width="13.125" customWidth="1"/>
    <col min="17" max="17" width="15.25" customWidth="1"/>
  </cols>
  <sheetData>
    <row r="1" spans="1:17" x14ac:dyDescent="0.25">
      <c r="A1" s="6" t="str">
        <f>epe</f>
        <v>El Paso Electric Company</v>
      </c>
      <c r="J1" s="8" t="s">
        <v>422</v>
      </c>
      <c r="Q1" s="8" t="s">
        <v>422</v>
      </c>
    </row>
    <row r="2" spans="1:17" x14ac:dyDescent="0.25">
      <c r="A2" t="str">
        <f>frta</f>
        <v>Formula Rate Template (Actuals)</v>
      </c>
      <c r="P2" s="8"/>
    </row>
    <row r="3" spans="1:17" x14ac:dyDescent="0.25">
      <c r="A3" t="s">
        <v>1040</v>
      </c>
    </row>
    <row r="4" spans="1:17" x14ac:dyDescent="0.25">
      <c r="A4" t="str">
        <f>"12 Months Ended December 31, "&amp;YEAR('A1 (FF1 Inputs)'!$E$12)</f>
        <v>12 Months Ended December 31, 2020</v>
      </c>
    </row>
    <row r="5" spans="1:17" ht="5.25" customHeight="1" thickBot="1" x14ac:dyDescent="0.3">
      <c r="A5" s="4"/>
      <c r="B5" s="4"/>
      <c r="C5" s="4"/>
      <c r="D5" s="4"/>
      <c r="E5" s="4"/>
      <c r="F5" s="4"/>
      <c r="G5" s="4"/>
      <c r="H5" s="4"/>
      <c r="I5" s="4"/>
      <c r="J5" s="4"/>
      <c r="K5" s="4"/>
      <c r="L5" s="4"/>
      <c r="M5" s="4"/>
      <c r="N5" s="4"/>
      <c r="O5" s="4"/>
      <c r="P5" s="4"/>
      <c r="Q5" s="4"/>
    </row>
    <row r="6" spans="1:17" ht="5.25" customHeight="1" thickTop="1" x14ac:dyDescent="0.25">
      <c r="A6"/>
    </row>
    <row r="7" spans="1:17" s="3" customFormat="1" ht="15.75" customHeight="1" x14ac:dyDescent="0.25">
      <c r="A7" s="266" t="str">
        <f>ln</f>
        <v>Line No.</v>
      </c>
      <c r="B7" s="266" t="s">
        <v>811</v>
      </c>
      <c r="C7" s="266" t="s">
        <v>810</v>
      </c>
      <c r="D7" s="270" t="s">
        <v>809</v>
      </c>
      <c r="E7" s="270"/>
      <c r="F7" s="270"/>
      <c r="G7" s="270"/>
      <c r="H7" s="270"/>
      <c r="I7" s="270"/>
      <c r="J7" s="270"/>
      <c r="K7" s="270" t="str">
        <f>D7</f>
        <v>GROSS PLANT IN SERVICE BALANCES</v>
      </c>
      <c r="L7" s="270"/>
      <c r="M7" s="270"/>
      <c r="N7" s="270"/>
      <c r="O7" s="270"/>
      <c r="P7" s="270"/>
      <c r="Q7" s="266" t="s">
        <v>808</v>
      </c>
    </row>
    <row r="8" spans="1:17" s="3" customFormat="1" x14ac:dyDescent="0.25">
      <c r="A8" s="266"/>
      <c r="B8" s="266"/>
      <c r="C8" s="266"/>
      <c r="D8" s="3" t="str">
        <f>"Dec-"&amp;YEAR('A1 (FF1 Inputs)'!$E$12)-1</f>
        <v>Dec-2019</v>
      </c>
      <c r="E8" s="3" t="str">
        <f>"Jan-"&amp;YEAR('A1 (FF1 Inputs)'!$E$12)</f>
        <v>Jan-2020</v>
      </c>
      <c r="F8" s="3" t="str">
        <f>"Feb-"&amp;YEAR('A1 (FF1 Inputs)'!$E$12)</f>
        <v>Feb-2020</v>
      </c>
      <c r="G8" s="3" t="str">
        <f>"Mar-"&amp;YEAR('A1 (FF1 Inputs)'!$E$12)</f>
        <v>Mar-2020</v>
      </c>
      <c r="H8" s="3" t="str">
        <f>"Apr-"&amp;YEAR('A1 (FF1 Inputs)'!$E$12)</f>
        <v>Apr-2020</v>
      </c>
      <c r="I8" s="3" t="str">
        <f>"May-"&amp;YEAR('A1 (FF1 Inputs)'!$E$12)</f>
        <v>May-2020</v>
      </c>
      <c r="J8" s="3" t="str">
        <f>"Jun-"&amp;YEAR('A1 (FF1 Inputs)'!$E$12)</f>
        <v>Jun-2020</v>
      </c>
      <c r="K8" s="3" t="str">
        <f>"Jul-"&amp;YEAR('A1 (FF1 Inputs)'!$E$12)</f>
        <v>Jul-2020</v>
      </c>
      <c r="L8" s="3" t="str">
        <f>"Aug-"&amp;YEAR('A1 (FF1 Inputs)'!$E$12)</f>
        <v>Aug-2020</v>
      </c>
      <c r="M8" s="3" t="str">
        <f>"Sep-"&amp;YEAR('A1 (FF1 Inputs)'!$E$12)</f>
        <v>Sep-2020</v>
      </c>
      <c r="N8" s="3" t="str">
        <f>"Oct-"&amp;YEAR('A1 (FF1 Inputs)'!$E$12)</f>
        <v>Oct-2020</v>
      </c>
      <c r="O8" s="3" t="str">
        <f>"Nov-"&amp;YEAR('A1 (FF1 Inputs)'!$E$12)</f>
        <v>Nov-2020</v>
      </c>
      <c r="P8" s="3" t="str">
        <f>"Dec-"&amp;YEAR('A1 (FF1 Inputs)'!$E$12)</f>
        <v>Dec-2020</v>
      </c>
      <c r="Q8" s="266"/>
    </row>
    <row r="9" spans="1:17" s="1" customFormat="1"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2" t="s">
        <v>395</v>
      </c>
      <c r="P9" s="2" t="s">
        <v>396</v>
      </c>
      <c r="Q9" s="1" t="s">
        <v>397</v>
      </c>
    </row>
    <row r="10" spans="1:17" ht="5.25" customHeight="1" x14ac:dyDescent="0.25">
      <c r="A10" s="5"/>
      <c r="B10" s="5"/>
      <c r="C10" s="5"/>
      <c r="D10" s="5"/>
      <c r="E10" s="5"/>
      <c r="F10" s="5"/>
      <c r="G10" s="5"/>
      <c r="H10" s="5"/>
      <c r="I10" s="5"/>
      <c r="J10" s="5"/>
      <c r="K10" s="5"/>
      <c r="L10" s="5"/>
      <c r="M10" s="5"/>
      <c r="N10" s="5"/>
      <c r="O10" s="5"/>
      <c r="P10" s="5"/>
      <c r="Q10" s="5"/>
    </row>
    <row r="11" spans="1:17" ht="5.25" customHeight="1" x14ac:dyDescent="0.25">
      <c r="A11"/>
    </row>
    <row r="12" spans="1:17" x14ac:dyDescent="0.25">
      <c r="A12" s="31" t="s">
        <v>411</v>
      </c>
      <c r="B12" s="32" t="s">
        <v>816</v>
      </c>
      <c r="C12" s="46" t="s">
        <v>1096</v>
      </c>
      <c r="D12" s="37">
        <v>329123.09999999998</v>
      </c>
      <c r="E12" s="37">
        <v>329123.09999999998</v>
      </c>
      <c r="F12" s="37">
        <v>329123.09999999998</v>
      </c>
      <c r="G12" s="37">
        <v>329123.09999999998</v>
      </c>
      <c r="H12" s="37">
        <v>329123.09999999998</v>
      </c>
      <c r="I12" s="37">
        <v>329123.09999999998</v>
      </c>
      <c r="J12" s="37">
        <v>329123.09999999998</v>
      </c>
      <c r="K12" s="37">
        <v>329123.09999999998</v>
      </c>
      <c r="L12" s="37">
        <v>329123.09999999998</v>
      </c>
      <c r="M12" s="37">
        <v>329123.09999999998</v>
      </c>
      <c r="N12" s="37">
        <v>329123.09999999998</v>
      </c>
      <c r="O12" s="37">
        <v>329123.09999999998</v>
      </c>
      <c r="P12" s="37">
        <v>329123.09999999998</v>
      </c>
      <c r="Q12" s="41">
        <f>AVERAGE(D12:P12)</f>
        <v>329123.10000000003</v>
      </c>
    </row>
    <row r="13" spans="1:17" x14ac:dyDescent="0.25">
      <c r="A13" s="31" t="s">
        <v>412</v>
      </c>
      <c r="B13" s="32" t="s">
        <v>813</v>
      </c>
      <c r="C13" s="46" t="s">
        <v>1096</v>
      </c>
      <c r="D13" s="37">
        <v>211752.14</v>
      </c>
      <c r="E13" s="37">
        <v>211752.14</v>
      </c>
      <c r="F13" s="37">
        <v>211752.14</v>
      </c>
      <c r="G13" s="37">
        <v>211752.14</v>
      </c>
      <c r="H13" s="37">
        <v>211752.14</v>
      </c>
      <c r="I13" s="37">
        <v>211752.14</v>
      </c>
      <c r="J13" s="37">
        <v>211752.14</v>
      </c>
      <c r="K13" s="37">
        <v>211752.14</v>
      </c>
      <c r="L13" s="37">
        <v>211752.14</v>
      </c>
      <c r="M13" s="37">
        <v>211752.14</v>
      </c>
      <c r="N13" s="37">
        <v>211752.14</v>
      </c>
      <c r="O13" s="37">
        <v>211752.14</v>
      </c>
      <c r="P13" s="37">
        <v>211752.14</v>
      </c>
      <c r="Q13" s="41">
        <f t="shared" ref="Q13:Q20" si="0">AVERAGE(D13:P13)</f>
        <v>211752.1400000001</v>
      </c>
    </row>
    <row r="14" spans="1:17" ht="18.75" x14ac:dyDescent="0.25">
      <c r="A14" s="31" t="s">
        <v>413</v>
      </c>
      <c r="B14" s="32" t="s">
        <v>1125</v>
      </c>
      <c r="C14" s="46" t="s">
        <v>1096</v>
      </c>
      <c r="D14" s="37">
        <v>2273529.36</v>
      </c>
      <c r="E14" s="37">
        <v>2273789.36</v>
      </c>
      <c r="F14" s="37">
        <v>2273789.36</v>
      </c>
      <c r="G14" s="37">
        <v>2273789.36</v>
      </c>
      <c r="H14" s="37">
        <v>2273789.36</v>
      </c>
      <c r="I14" s="37">
        <v>2273751.9499999997</v>
      </c>
      <c r="J14" s="37">
        <v>2273751.9499999997</v>
      </c>
      <c r="K14" s="37">
        <v>2273751.9499999997</v>
      </c>
      <c r="L14" s="37">
        <v>2273751.9499999997</v>
      </c>
      <c r="M14" s="37">
        <v>2273751.9499999997</v>
      </c>
      <c r="N14" s="37">
        <v>2273751.9499999997</v>
      </c>
      <c r="O14" s="37">
        <v>2273751.9499999997</v>
      </c>
      <c r="P14" s="37">
        <v>2273751.9499999997</v>
      </c>
      <c r="Q14" s="41">
        <f t="shared" si="0"/>
        <v>2273746.3384615378</v>
      </c>
    </row>
    <row r="15" spans="1:17" x14ac:dyDescent="0.25">
      <c r="A15" s="31" t="s">
        <v>456</v>
      </c>
      <c r="B15" s="32" t="s">
        <v>814</v>
      </c>
      <c r="C15" s="46" t="s">
        <v>1096</v>
      </c>
      <c r="D15" s="37">
        <v>953645.3600000001</v>
      </c>
      <c r="E15" s="37">
        <v>953645.3600000001</v>
      </c>
      <c r="F15" s="37">
        <v>953645.3600000001</v>
      </c>
      <c r="G15" s="37">
        <v>953645.3600000001</v>
      </c>
      <c r="H15" s="37">
        <v>953645.3600000001</v>
      </c>
      <c r="I15" s="37">
        <v>953645.3600000001</v>
      </c>
      <c r="J15" s="37">
        <v>953645.3600000001</v>
      </c>
      <c r="K15" s="37">
        <v>953645.3600000001</v>
      </c>
      <c r="L15" s="37">
        <v>953645.3600000001</v>
      </c>
      <c r="M15" s="37">
        <v>953645.3600000001</v>
      </c>
      <c r="N15" s="37">
        <v>1035230.61</v>
      </c>
      <c r="O15" s="37">
        <v>1035230.61</v>
      </c>
      <c r="P15" s="37">
        <v>1035230.61</v>
      </c>
      <c r="Q15" s="41">
        <f t="shared" si="0"/>
        <v>972472.72538461536</v>
      </c>
    </row>
    <row r="16" spans="1:17" x14ac:dyDescent="0.25">
      <c r="A16" s="31" t="s">
        <v>457</v>
      </c>
      <c r="B16" s="32" t="s">
        <v>815</v>
      </c>
      <c r="C16" s="46" t="s">
        <v>1096</v>
      </c>
      <c r="D16" s="37">
        <v>552589.03</v>
      </c>
      <c r="E16" s="37">
        <v>769249.05999999994</v>
      </c>
      <c r="F16" s="37">
        <v>803173.17999999993</v>
      </c>
      <c r="G16" s="37">
        <v>803173.17999999993</v>
      </c>
      <c r="H16" s="37">
        <v>729268.91999999993</v>
      </c>
      <c r="I16" s="37">
        <v>817979.77</v>
      </c>
      <c r="J16" s="37">
        <v>873293.91999999993</v>
      </c>
      <c r="K16" s="37">
        <v>886993.80999999994</v>
      </c>
      <c r="L16" s="37">
        <v>854995.41</v>
      </c>
      <c r="M16" s="37">
        <v>943299.39</v>
      </c>
      <c r="N16" s="37">
        <v>162621.88</v>
      </c>
      <c r="O16" s="37">
        <v>195324.19</v>
      </c>
      <c r="P16" s="37">
        <v>270928.53000000003</v>
      </c>
      <c r="Q16" s="41">
        <f t="shared" si="0"/>
        <v>666376.17461538443</v>
      </c>
    </row>
    <row r="17" spans="1:17" x14ac:dyDescent="0.25">
      <c r="A17" s="31" t="s">
        <v>812</v>
      </c>
      <c r="B17" s="32" t="s">
        <v>1138</v>
      </c>
      <c r="C17" s="46" t="s">
        <v>1096</v>
      </c>
      <c r="D17" s="37">
        <v>559220.29</v>
      </c>
      <c r="E17" s="37">
        <v>559220.29</v>
      </c>
      <c r="F17" s="37">
        <v>559220.29</v>
      </c>
      <c r="G17" s="37">
        <v>559220.29</v>
      </c>
      <c r="H17" s="37">
        <v>559220.29</v>
      </c>
      <c r="I17" s="37">
        <v>559220.29</v>
      </c>
      <c r="J17" s="37">
        <v>559220.29</v>
      </c>
      <c r="K17" s="37">
        <v>559220.29</v>
      </c>
      <c r="L17" s="37">
        <v>559220.29</v>
      </c>
      <c r="M17" s="37">
        <v>559220.29</v>
      </c>
      <c r="N17" s="37">
        <v>559220.29</v>
      </c>
      <c r="O17" s="37">
        <v>559220.29</v>
      </c>
      <c r="P17" s="37">
        <v>559220.29</v>
      </c>
      <c r="Q17" s="41">
        <f t="shared" si="0"/>
        <v>559220.29</v>
      </c>
    </row>
    <row r="18" spans="1:17" ht="18.75" x14ac:dyDescent="0.25">
      <c r="A18" s="31" t="s">
        <v>459</v>
      </c>
      <c r="B18" s="32" t="s">
        <v>1139</v>
      </c>
      <c r="C18" s="46" t="s">
        <v>1096</v>
      </c>
      <c r="D18" s="37">
        <v>7611.41</v>
      </c>
      <c r="E18" s="37">
        <v>7611.41</v>
      </c>
      <c r="F18" s="37">
        <v>7611.41</v>
      </c>
      <c r="G18" s="37">
        <v>7611.41</v>
      </c>
      <c r="H18" s="37">
        <v>7611.41</v>
      </c>
      <c r="I18" s="37">
        <v>7611.41</v>
      </c>
      <c r="J18" s="37">
        <v>7611.41</v>
      </c>
      <c r="K18" s="37">
        <v>7611.41</v>
      </c>
      <c r="L18" s="37">
        <v>7611.41</v>
      </c>
      <c r="M18" s="37">
        <v>7611.41</v>
      </c>
      <c r="N18" s="37">
        <v>7611.41</v>
      </c>
      <c r="O18" s="37">
        <v>7611.41</v>
      </c>
      <c r="P18" s="37">
        <v>7611.41</v>
      </c>
      <c r="Q18" s="41">
        <f t="shared" si="0"/>
        <v>7611.4100000000026</v>
      </c>
    </row>
    <row r="19" spans="1:17" x14ac:dyDescent="0.25">
      <c r="A19" s="31" t="s">
        <v>357</v>
      </c>
      <c r="B19" s="32" t="s">
        <v>357</v>
      </c>
      <c r="C19" s="46" t="s">
        <v>357</v>
      </c>
      <c r="D19" s="37">
        <v>0</v>
      </c>
      <c r="E19" s="37">
        <v>0</v>
      </c>
      <c r="F19" s="37">
        <v>0</v>
      </c>
      <c r="G19" s="37">
        <v>0</v>
      </c>
      <c r="H19" s="37">
        <v>0</v>
      </c>
      <c r="I19" s="37">
        <v>0</v>
      </c>
      <c r="J19" s="37">
        <v>0</v>
      </c>
      <c r="K19" s="37">
        <v>0</v>
      </c>
      <c r="L19" s="37">
        <v>0</v>
      </c>
      <c r="M19" s="37">
        <v>0</v>
      </c>
      <c r="N19" s="37">
        <v>0</v>
      </c>
      <c r="O19" s="37">
        <v>0</v>
      </c>
      <c r="P19" s="37">
        <v>0</v>
      </c>
      <c r="Q19" s="41">
        <f t="shared" si="0"/>
        <v>0</v>
      </c>
    </row>
    <row r="20" spans="1:17" x14ac:dyDescent="0.25">
      <c r="A20" s="1" t="s">
        <v>478</v>
      </c>
      <c r="B20" s="104" t="s">
        <v>357</v>
      </c>
      <c r="C20" s="48" t="s">
        <v>357</v>
      </c>
      <c r="D20" s="20">
        <v>0</v>
      </c>
      <c r="E20" s="20">
        <v>0</v>
      </c>
      <c r="F20" s="20">
        <v>0</v>
      </c>
      <c r="G20" s="20">
        <v>0</v>
      </c>
      <c r="H20" s="20">
        <v>0</v>
      </c>
      <c r="I20" s="20">
        <v>0</v>
      </c>
      <c r="J20" s="20">
        <v>0</v>
      </c>
      <c r="K20" s="20">
        <v>0</v>
      </c>
      <c r="L20" s="20">
        <v>0</v>
      </c>
      <c r="M20" s="20">
        <v>0</v>
      </c>
      <c r="N20" s="20">
        <v>0</v>
      </c>
      <c r="O20" s="20">
        <v>0</v>
      </c>
      <c r="P20" s="20">
        <v>0</v>
      </c>
      <c r="Q20" s="41">
        <f t="shared" si="0"/>
        <v>0</v>
      </c>
    </row>
    <row r="21" spans="1:17" s="6" customFormat="1" x14ac:dyDescent="0.25">
      <c r="A21" s="88">
        <v>2</v>
      </c>
      <c r="B21" s="89" t="str">
        <f>"Total Excluded Transmission Plant (Sum Lns. ("&amp;A12&amp;" through "&amp;A20&amp;"))"</f>
        <v>Total Excluded Transmission Plant (Sum Lns. (1a through 1zz))</v>
      </c>
      <c r="C21" s="89"/>
      <c r="D21" s="90">
        <f t="shared" ref="D21:Q21" si="1">SUM(D12:D20)</f>
        <v>4887470.6900000004</v>
      </c>
      <c r="E21" s="90">
        <f t="shared" si="1"/>
        <v>5104390.72</v>
      </c>
      <c r="F21" s="90">
        <f t="shared" si="1"/>
        <v>5138314.84</v>
      </c>
      <c r="G21" s="90">
        <f t="shared" si="1"/>
        <v>5138314.84</v>
      </c>
      <c r="H21" s="90">
        <f t="shared" si="1"/>
        <v>5064410.58</v>
      </c>
      <c r="I21" s="90">
        <f t="shared" si="1"/>
        <v>5153084.0200000005</v>
      </c>
      <c r="J21" s="90">
        <f t="shared" si="1"/>
        <v>5208398.17</v>
      </c>
      <c r="K21" s="90">
        <f t="shared" si="1"/>
        <v>5222098.0599999996</v>
      </c>
      <c r="L21" s="90">
        <f t="shared" si="1"/>
        <v>5190099.66</v>
      </c>
      <c r="M21" s="90">
        <f t="shared" si="1"/>
        <v>5278403.6399999997</v>
      </c>
      <c r="N21" s="90">
        <f t="shared" si="1"/>
        <v>4579311.379999999</v>
      </c>
      <c r="O21" s="90">
        <f t="shared" si="1"/>
        <v>4612013.6899999995</v>
      </c>
      <c r="P21" s="90">
        <f t="shared" si="1"/>
        <v>4687618.0299999993</v>
      </c>
      <c r="Q21" s="90">
        <f t="shared" si="1"/>
        <v>5020302.1784615377</v>
      </c>
    </row>
    <row r="22" spans="1:17" ht="5.25" customHeight="1" x14ac:dyDescent="0.25">
      <c r="A22" s="14"/>
      <c r="B22" s="5"/>
      <c r="C22" s="5"/>
      <c r="D22" s="5"/>
      <c r="E22" s="5"/>
      <c r="F22" s="5"/>
      <c r="G22" s="5"/>
      <c r="H22" s="5"/>
      <c r="I22" s="5"/>
      <c r="J22" s="5"/>
      <c r="K22" s="5"/>
      <c r="L22" s="5"/>
      <c r="M22" s="5"/>
      <c r="N22" s="5"/>
      <c r="O22" s="5"/>
      <c r="P22" s="5"/>
      <c r="Q22" s="5"/>
    </row>
    <row r="23" spans="1:17" ht="5.25" customHeight="1" x14ac:dyDescent="0.25"/>
    <row r="24" spans="1:17" x14ac:dyDescent="0.25">
      <c r="A24" s="22" t="str">
        <f>note</f>
        <v>Notes and Sources:</v>
      </c>
    </row>
    <row r="25" spans="1:17" ht="18.75" x14ac:dyDescent="0.25">
      <c r="A25" s="23">
        <v>1</v>
      </c>
      <c r="B25" s="274" t="str">
        <f>"Unless otherwise stated, source of shaded cells is company input/records. Lines "&amp;A12&amp;" through "&amp;A20&amp;" represent adjustable lines that may be expanded/compressed on an annual basis to provide for a sufficient breakout of excluded transmission plant balances."</f>
        <v>Unless otherwise stated, source of shaded cells is company input/records. Lines 1a through 1zz represent adjustable lines that may be expanded/compressed on an annual basis to provide for a sufficient breakout of excluded transmission plant balances.</v>
      </c>
      <c r="C25" s="274"/>
    </row>
    <row r="26" spans="1:17" ht="15.75" customHeight="1" x14ac:dyDescent="0.25">
      <c r="A26" s="23"/>
      <c r="B26" s="274"/>
      <c r="C26" s="274"/>
    </row>
    <row r="27" spans="1:17" ht="15.75" customHeight="1" x14ac:dyDescent="0.25">
      <c r="A27" s="23"/>
      <c r="B27" s="274"/>
      <c r="C27" s="274"/>
    </row>
    <row r="28" spans="1:17" ht="59.45" customHeight="1" x14ac:dyDescent="0.25">
      <c r="A28" s="223">
        <v>2</v>
      </c>
      <c r="B28" s="273" t="s">
        <v>1121</v>
      </c>
      <c r="C28" s="273"/>
    </row>
    <row r="29" spans="1:17" ht="5.25" customHeight="1" thickBot="1" x14ac:dyDescent="0.3">
      <c r="A29" s="24"/>
      <c r="B29" s="4"/>
      <c r="C29" s="4"/>
      <c r="D29" s="4"/>
      <c r="E29" s="4"/>
      <c r="F29" s="4"/>
      <c r="G29" s="4"/>
      <c r="H29" s="4"/>
      <c r="I29" s="4"/>
      <c r="J29" s="4"/>
      <c r="K29" s="4"/>
      <c r="L29" s="4"/>
      <c r="M29" s="4"/>
      <c r="N29" s="4"/>
      <c r="O29" s="4"/>
      <c r="P29" s="4"/>
      <c r="Q29" s="4"/>
    </row>
    <row r="30" spans="1:17" ht="5.25" customHeight="1" thickTop="1" x14ac:dyDescent="0.25"/>
  </sheetData>
  <mergeCells count="8">
    <mergeCell ref="B28:C28"/>
    <mergeCell ref="B25:C27"/>
    <mergeCell ref="D7:J7"/>
    <mergeCell ref="K7:P7"/>
    <mergeCell ref="Q7:Q8"/>
    <mergeCell ref="A7:A9"/>
    <mergeCell ref="B7:B8"/>
    <mergeCell ref="C7:C8"/>
  </mergeCells>
  <pageMargins left="0.7" right="0.7" top="0.75" bottom="0.75" header="0.3" footer="0.3"/>
  <pageSetup scale="62" fitToWidth="2" orientation="landscape" horizontalDpi="1200" verticalDpi="1200" r:id="rId1"/>
  <headerFooter>
    <oddFooter>&amp;L&amp;6{W0327924.2 }</oddFooter>
  </headerFooter>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X28"/>
  <sheetViews>
    <sheetView workbookViewId="0"/>
  </sheetViews>
  <sheetFormatPr defaultRowHeight="15.75" x14ac:dyDescent="0.25"/>
  <cols>
    <col min="1" max="1" width="4.25" style="1" customWidth="1"/>
    <col min="2" max="2" width="39.25" customWidth="1"/>
    <col min="3" max="3" width="10.5" customWidth="1"/>
    <col min="4" max="4" width="11.75" customWidth="1"/>
    <col min="5" max="5" width="11.125" customWidth="1"/>
    <col min="6" max="6" width="11.5" customWidth="1"/>
    <col min="7" max="19" width="10.625" customWidth="1"/>
    <col min="20" max="20" width="15.25" customWidth="1"/>
    <col min="23" max="23" width="17.25" customWidth="1"/>
    <col min="24" max="24" width="38.75" customWidth="1"/>
  </cols>
  <sheetData>
    <row r="1" spans="1:24" x14ac:dyDescent="0.25">
      <c r="A1" s="6" t="str">
        <f>epe</f>
        <v>El Paso Electric Company</v>
      </c>
      <c r="M1" s="8" t="str">
        <f>$X$1</f>
        <v>Worksheet A6</v>
      </c>
      <c r="T1" s="8" t="str">
        <f>$X$1</f>
        <v>Worksheet A6</v>
      </c>
      <c r="X1" s="8" t="s">
        <v>433</v>
      </c>
    </row>
    <row r="2" spans="1:24" x14ac:dyDescent="0.25">
      <c r="A2" t="str">
        <f>frta</f>
        <v>Formula Rate Template (Actuals)</v>
      </c>
      <c r="S2" s="8"/>
      <c r="X2" s="8"/>
    </row>
    <row r="3" spans="1:24" x14ac:dyDescent="0.25">
      <c r="A3" t="s">
        <v>30</v>
      </c>
    </row>
    <row r="4" spans="1:24" x14ac:dyDescent="0.25">
      <c r="A4" t="str">
        <f>"12 Months Ended December 31, "&amp;YEAR('A1 (FF1 Inputs)'!$E$12)</f>
        <v>12 Months Ended December 31, 2020</v>
      </c>
    </row>
    <row r="5" spans="1:24" ht="5.25" customHeight="1" thickBot="1" x14ac:dyDescent="0.3">
      <c r="A5" s="4"/>
      <c r="B5" s="4"/>
      <c r="C5" s="4"/>
      <c r="D5" s="4"/>
      <c r="E5" s="4"/>
      <c r="F5" s="4"/>
      <c r="G5" s="4"/>
      <c r="H5" s="4"/>
      <c r="I5" s="4"/>
      <c r="J5" s="4"/>
      <c r="K5" s="4"/>
      <c r="L5" s="4"/>
      <c r="M5" s="4"/>
      <c r="N5" s="4"/>
      <c r="O5" s="4"/>
      <c r="P5" s="4"/>
      <c r="Q5" s="4"/>
      <c r="R5" s="4"/>
      <c r="S5" s="4"/>
      <c r="T5" s="4"/>
      <c r="U5" s="4"/>
      <c r="V5" s="4"/>
      <c r="W5" s="4"/>
      <c r="X5" s="4"/>
    </row>
    <row r="6" spans="1:24" ht="5.25" customHeight="1" thickTop="1" x14ac:dyDescent="0.25">
      <c r="A6"/>
    </row>
    <row r="7" spans="1:24" s="3" customFormat="1" ht="15.75" customHeight="1" x14ac:dyDescent="0.25">
      <c r="A7" s="266" t="str">
        <f>ln</f>
        <v>Line No.</v>
      </c>
      <c r="B7" s="266" t="s">
        <v>678</v>
      </c>
      <c r="C7" s="266" t="s">
        <v>385</v>
      </c>
      <c r="D7" s="266" t="s">
        <v>686</v>
      </c>
      <c r="E7" s="266" t="s">
        <v>435</v>
      </c>
      <c r="F7" s="266" t="s">
        <v>685</v>
      </c>
      <c r="G7" s="270" t="s">
        <v>427</v>
      </c>
      <c r="H7" s="270"/>
      <c r="I7" s="270"/>
      <c r="J7" s="270"/>
      <c r="K7" s="270"/>
      <c r="L7" s="270"/>
      <c r="M7" s="270"/>
      <c r="N7" s="270" t="str">
        <f>G7</f>
        <v>BALANCES</v>
      </c>
      <c r="O7" s="270"/>
      <c r="P7" s="270"/>
      <c r="Q7" s="270"/>
      <c r="R7" s="270"/>
      <c r="S7" s="270"/>
      <c r="T7" s="266" t="s">
        <v>688</v>
      </c>
      <c r="U7" s="270" t="s">
        <v>393</v>
      </c>
      <c r="V7" s="270"/>
      <c r="W7" s="275" t="s">
        <v>430</v>
      </c>
      <c r="X7" s="266" t="s">
        <v>687</v>
      </c>
    </row>
    <row r="8" spans="1:24" s="3" customFormat="1" x14ac:dyDescent="0.25">
      <c r="A8" s="266"/>
      <c r="B8" s="266"/>
      <c r="C8" s="266"/>
      <c r="D8" s="266"/>
      <c r="E8" s="266"/>
      <c r="F8" s="266"/>
      <c r="G8" s="3" t="str">
        <f>"Dec-"&amp;YEAR('A1 (FF1 Inputs)'!$E$12)-1</f>
        <v>Dec-2019</v>
      </c>
      <c r="H8" s="3" t="str">
        <f>"Jan-"&amp;YEAR('A1 (FF1 Inputs)'!$E$12)</f>
        <v>Jan-2020</v>
      </c>
      <c r="I8" s="3" t="str">
        <f>"Feb-"&amp;YEAR('A1 (FF1 Inputs)'!$E$12)</f>
        <v>Feb-2020</v>
      </c>
      <c r="J8" s="3" t="str">
        <f>"Mar-"&amp;YEAR('A1 (FF1 Inputs)'!$E$12)</f>
        <v>Mar-2020</v>
      </c>
      <c r="K8" s="3" t="str">
        <f>"Apr-"&amp;YEAR('A1 (FF1 Inputs)'!$E$12)</f>
        <v>Apr-2020</v>
      </c>
      <c r="L8" s="3" t="str">
        <f>"May-"&amp;YEAR('A1 (FF1 Inputs)'!$E$12)</f>
        <v>May-2020</v>
      </c>
      <c r="M8" s="3" t="str">
        <f>"Jun-"&amp;YEAR('A1 (FF1 Inputs)'!$E$12)</f>
        <v>Jun-2020</v>
      </c>
      <c r="N8" s="3" t="str">
        <f>"Jul-"&amp;YEAR('A1 (FF1 Inputs)'!$E$12)</f>
        <v>Jul-2020</v>
      </c>
      <c r="O8" s="3" t="str">
        <f>"Aug-"&amp;YEAR('A1 (FF1 Inputs)'!$E$12)</f>
        <v>Aug-2020</v>
      </c>
      <c r="P8" s="3" t="str">
        <f>"Sep-"&amp;YEAR('A1 (FF1 Inputs)'!$E$12)</f>
        <v>Sep-2020</v>
      </c>
      <c r="Q8" s="3" t="str">
        <f>"Oct-"&amp;YEAR('A1 (FF1 Inputs)'!$E$12)</f>
        <v>Oct-2020</v>
      </c>
      <c r="R8" s="3" t="str">
        <f>"Nov-"&amp;YEAR('A1 (FF1 Inputs)'!$E$12)</f>
        <v>Nov-2020</v>
      </c>
      <c r="S8" s="3" t="str">
        <f>"Dec-"&amp;YEAR('A1 (FF1 Inputs)'!$E$12)</f>
        <v>Dec-2020</v>
      </c>
      <c r="T8" s="266"/>
      <c r="U8" s="3" t="s">
        <v>5</v>
      </c>
      <c r="V8" s="3" t="s">
        <v>6</v>
      </c>
      <c r="W8" s="275"/>
      <c r="X8" s="266"/>
    </row>
    <row r="9" spans="1:24" s="1" customFormat="1" ht="31.5" x14ac:dyDescent="0.25">
      <c r="A9" s="266"/>
      <c r="B9" s="2" t="s">
        <v>7</v>
      </c>
      <c r="C9" s="2" t="s">
        <v>8</v>
      </c>
      <c r="D9" s="2" t="s">
        <v>9</v>
      </c>
      <c r="E9" s="2" t="s">
        <v>10</v>
      </c>
      <c r="F9" s="2" t="s">
        <v>11</v>
      </c>
      <c r="G9" s="2" t="s">
        <v>12</v>
      </c>
      <c r="H9" s="2" t="s">
        <v>91</v>
      </c>
      <c r="I9" s="2" t="s">
        <v>92</v>
      </c>
      <c r="J9" s="2" t="s">
        <v>93</v>
      </c>
      <c r="K9" s="2" t="s">
        <v>94</v>
      </c>
      <c r="L9" s="2" t="s">
        <v>95</v>
      </c>
      <c r="M9" s="2" t="s">
        <v>307</v>
      </c>
      <c r="N9" s="2" t="s">
        <v>392</v>
      </c>
      <c r="O9" s="2" t="s">
        <v>395</v>
      </c>
      <c r="P9" s="2" t="s">
        <v>396</v>
      </c>
      <c r="Q9" s="2" t="s">
        <v>397</v>
      </c>
      <c r="R9" s="2" t="s">
        <v>398</v>
      </c>
      <c r="S9" s="2" t="s">
        <v>399</v>
      </c>
      <c r="T9" s="3" t="s">
        <v>436</v>
      </c>
      <c r="U9" s="2" t="s">
        <v>401</v>
      </c>
      <c r="V9" s="2" t="s">
        <v>402</v>
      </c>
      <c r="W9" s="2" t="s">
        <v>437</v>
      </c>
      <c r="X9" s="2" t="s">
        <v>404</v>
      </c>
    </row>
    <row r="10" spans="1:24" ht="5.25" customHeight="1" x14ac:dyDescent="0.25">
      <c r="A10" s="5"/>
      <c r="B10" s="5"/>
      <c r="C10" s="5"/>
      <c r="D10" s="5"/>
      <c r="E10" s="5"/>
      <c r="F10" s="5"/>
      <c r="G10" s="5"/>
      <c r="H10" s="5"/>
      <c r="I10" s="5"/>
      <c r="J10" s="5"/>
      <c r="K10" s="5"/>
      <c r="L10" s="5"/>
      <c r="M10" s="5"/>
      <c r="N10" s="5"/>
      <c r="O10" s="5"/>
      <c r="P10" s="5"/>
      <c r="Q10" s="5"/>
      <c r="R10" s="5"/>
      <c r="S10" s="5"/>
      <c r="T10" s="5"/>
      <c r="U10" s="5"/>
      <c r="V10" s="5"/>
      <c r="W10" s="5"/>
      <c r="X10" s="5"/>
    </row>
    <row r="11" spans="1:24" ht="5.25" customHeight="1" x14ac:dyDescent="0.25">
      <c r="A11"/>
    </row>
    <row r="12" spans="1:24" x14ac:dyDescent="0.25">
      <c r="A12" s="31" t="s">
        <v>411</v>
      </c>
      <c r="B12" s="32" t="s">
        <v>357</v>
      </c>
      <c r="C12" s="31" t="s">
        <v>357</v>
      </c>
      <c r="D12" s="43">
        <v>0</v>
      </c>
      <c r="E12" s="31" t="s">
        <v>357</v>
      </c>
      <c r="F12" s="31" t="s">
        <v>357</v>
      </c>
      <c r="G12" s="37">
        <v>0</v>
      </c>
      <c r="H12" s="37">
        <v>0</v>
      </c>
      <c r="I12" s="37">
        <v>0</v>
      </c>
      <c r="J12" s="37">
        <v>0</v>
      </c>
      <c r="K12" s="37">
        <v>0</v>
      </c>
      <c r="L12" s="37">
        <v>0</v>
      </c>
      <c r="M12" s="37">
        <v>0</v>
      </c>
      <c r="N12" s="37">
        <v>0</v>
      </c>
      <c r="O12" s="37">
        <v>0</v>
      </c>
      <c r="P12" s="37">
        <v>0</v>
      </c>
      <c r="Q12" s="37">
        <v>0</v>
      </c>
      <c r="R12" s="37">
        <v>0</v>
      </c>
      <c r="S12" s="37">
        <v>0</v>
      </c>
      <c r="T12" s="41">
        <f>AVERAGE(G12:S12)</f>
        <v>0</v>
      </c>
      <c r="U12" s="31" t="s">
        <v>357</v>
      </c>
      <c r="V12" s="45">
        <f>IFERROR(VLOOKUP(U12,'A22 (Allocation Factors)'!$D:$F,3,0),0)</f>
        <v>0</v>
      </c>
      <c r="W12" s="41">
        <f>T12*V12*D12</f>
        <v>0</v>
      </c>
      <c r="X12" s="46" t="s">
        <v>357</v>
      </c>
    </row>
    <row r="13" spans="1:24" x14ac:dyDescent="0.25">
      <c r="A13" s="31" t="s">
        <v>412</v>
      </c>
      <c r="B13" s="32" t="s">
        <v>357</v>
      </c>
      <c r="C13" s="31" t="s">
        <v>357</v>
      </c>
      <c r="D13" s="43">
        <v>0</v>
      </c>
      <c r="E13" s="31" t="s">
        <v>357</v>
      </c>
      <c r="F13" s="31" t="s">
        <v>357</v>
      </c>
      <c r="G13" s="37">
        <v>0</v>
      </c>
      <c r="H13" s="37">
        <v>0</v>
      </c>
      <c r="I13" s="37">
        <v>0</v>
      </c>
      <c r="J13" s="37">
        <v>0</v>
      </c>
      <c r="K13" s="37">
        <v>0</v>
      </c>
      <c r="L13" s="37">
        <v>0</v>
      </c>
      <c r="M13" s="37">
        <v>0</v>
      </c>
      <c r="N13" s="37">
        <v>0</v>
      </c>
      <c r="O13" s="37">
        <v>0</v>
      </c>
      <c r="P13" s="37">
        <v>0</v>
      </c>
      <c r="Q13" s="37">
        <v>0</v>
      </c>
      <c r="R13" s="37">
        <v>0</v>
      </c>
      <c r="S13" s="37">
        <v>0</v>
      </c>
      <c r="T13" s="41">
        <f t="shared" ref="T13:T18" si="0">AVERAGE(G13:S13)</f>
        <v>0</v>
      </c>
      <c r="U13" s="31" t="s">
        <v>357</v>
      </c>
      <c r="V13" s="45">
        <f>IFERROR(VLOOKUP(U13,'A22 (Allocation Factors)'!$D:$F,3,0),0)</f>
        <v>0</v>
      </c>
      <c r="W13" s="41">
        <f t="shared" ref="W13:W18" si="1">T13*V13*D13</f>
        <v>0</v>
      </c>
      <c r="X13" s="46" t="s">
        <v>357</v>
      </c>
    </row>
    <row r="14" spans="1:24" x14ac:dyDescent="0.25">
      <c r="A14" s="31" t="s">
        <v>413</v>
      </c>
      <c r="B14" s="32" t="s">
        <v>357</v>
      </c>
      <c r="C14" s="31" t="s">
        <v>357</v>
      </c>
      <c r="D14" s="43">
        <v>0</v>
      </c>
      <c r="E14" s="31" t="s">
        <v>357</v>
      </c>
      <c r="F14" s="31" t="s">
        <v>357</v>
      </c>
      <c r="G14" s="37">
        <v>0</v>
      </c>
      <c r="H14" s="37">
        <v>0</v>
      </c>
      <c r="I14" s="37">
        <v>0</v>
      </c>
      <c r="J14" s="37">
        <v>0</v>
      </c>
      <c r="K14" s="37">
        <v>0</v>
      </c>
      <c r="L14" s="37">
        <v>0</v>
      </c>
      <c r="M14" s="37">
        <v>0</v>
      </c>
      <c r="N14" s="37">
        <v>0</v>
      </c>
      <c r="O14" s="37">
        <v>0</v>
      </c>
      <c r="P14" s="37">
        <v>0</v>
      </c>
      <c r="Q14" s="37">
        <v>0</v>
      </c>
      <c r="R14" s="37">
        <v>0</v>
      </c>
      <c r="S14" s="37">
        <v>0</v>
      </c>
      <c r="T14" s="41">
        <f t="shared" si="0"/>
        <v>0</v>
      </c>
      <c r="U14" s="31" t="s">
        <v>357</v>
      </c>
      <c r="V14" s="45">
        <f>IFERROR(VLOOKUP(U14,'A22 (Allocation Factors)'!$D:$F,3,0),0)</f>
        <v>0</v>
      </c>
      <c r="W14" s="41">
        <f t="shared" si="1"/>
        <v>0</v>
      </c>
      <c r="X14" s="46" t="s">
        <v>357</v>
      </c>
    </row>
    <row r="15" spans="1:24" x14ac:dyDescent="0.25">
      <c r="A15" s="31" t="s">
        <v>357</v>
      </c>
      <c r="B15" s="32" t="s">
        <v>357</v>
      </c>
      <c r="C15" s="31" t="s">
        <v>357</v>
      </c>
      <c r="D15" s="43">
        <v>0</v>
      </c>
      <c r="E15" s="31" t="s">
        <v>357</v>
      </c>
      <c r="F15" s="31" t="s">
        <v>357</v>
      </c>
      <c r="G15" s="37">
        <v>0</v>
      </c>
      <c r="H15" s="37">
        <v>0</v>
      </c>
      <c r="I15" s="37">
        <v>0</v>
      </c>
      <c r="J15" s="37">
        <v>0</v>
      </c>
      <c r="K15" s="37">
        <v>0</v>
      </c>
      <c r="L15" s="37">
        <v>0</v>
      </c>
      <c r="M15" s="37">
        <v>0</v>
      </c>
      <c r="N15" s="37">
        <v>0</v>
      </c>
      <c r="O15" s="37">
        <v>0</v>
      </c>
      <c r="P15" s="37">
        <v>0</v>
      </c>
      <c r="Q15" s="37">
        <v>0</v>
      </c>
      <c r="R15" s="37">
        <v>0</v>
      </c>
      <c r="S15" s="37">
        <v>0</v>
      </c>
      <c r="T15" s="41">
        <f t="shared" si="0"/>
        <v>0</v>
      </c>
      <c r="U15" s="31" t="s">
        <v>357</v>
      </c>
      <c r="V15" s="45">
        <f>IFERROR(VLOOKUP(U15,'A22 (Allocation Factors)'!$D:$F,3,0),0)</f>
        <v>0</v>
      </c>
      <c r="W15" s="41">
        <f t="shared" si="1"/>
        <v>0</v>
      </c>
      <c r="X15" s="46" t="s">
        <v>357</v>
      </c>
    </row>
    <row r="16" spans="1:24" x14ac:dyDescent="0.25">
      <c r="A16" s="31" t="s">
        <v>357</v>
      </c>
      <c r="B16" s="32" t="s">
        <v>357</v>
      </c>
      <c r="C16" s="31" t="s">
        <v>357</v>
      </c>
      <c r="D16" s="43">
        <v>0</v>
      </c>
      <c r="E16" s="31" t="s">
        <v>357</v>
      </c>
      <c r="F16" s="31" t="s">
        <v>357</v>
      </c>
      <c r="G16" s="37">
        <v>0</v>
      </c>
      <c r="H16" s="37">
        <v>0</v>
      </c>
      <c r="I16" s="37">
        <v>0</v>
      </c>
      <c r="J16" s="37">
        <v>0</v>
      </c>
      <c r="K16" s="37">
        <v>0</v>
      </c>
      <c r="L16" s="37">
        <v>0</v>
      </c>
      <c r="M16" s="37">
        <v>0</v>
      </c>
      <c r="N16" s="37">
        <v>0</v>
      </c>
      <c r="O16" s="37">
        <v>0</v>
      </c>
      <c r="P16" s="37">
        <v>0</v>
      </c>
      <c r="Q16" s="37">
        <v>0</v>
      </c>
      <c r="R16" s="37">
        <v>0</v>
      </c>
      <c r="S16" s="37">
        <v>0</v>
      </c>
      <c r="T16" s="41">
        <f t="shared" si="0"/>
        <v>0</v>
      </c>
      <c r="U16" s="31" t="s">
        <v>357</v>
      </c>
      <c r="V16" s="45">
        <f>IFERROR(VLOOKUP(U16,'A22 (Allocation Factors)'!$D:$F,3,0),0)</f>
        <v>0</v>
      </c>
      <c r="W16" s="41">
        <f t="shared" si="1"/>
        <v>0</v>
      </c>
      <c r="X16" s="46" t="s">
        <v>357</v>
      </c>
    </row>
    <row r="17" spans="1:24" x14ac:dyDescent="0.25">
      <c r="A17" s="31" t="s">
        <v>357</v>
      </c>
      <c r="B17" s="32" t="s">
        <v>357</v>
      </c>
      <c r="C17" s="31" t="s">
        <v>357</v>
      </c>
      <c r="D17" s="43">
        <v>0</v>
      </c>
      <c r="E17" s="31" t="s">
        <v>357</v>
      </c>
      <c r="F17" s="31" t="s">
        <v>357</v>
      </c>
      <c r="G17" s="37">
        <v>0</v>
      </c>
      <c r="H17" s="37">
        <v>0</v>
      </c>
      <c r="I17" s="37">
        <v>0</v>
      </c>
      <c r="J17" s="37">
        <v>0</v>
      </c>
      <c r="K17" s="37">
        <v>0</v>
      </c>
      <c r="L17" s="37">
        <v>0</v>
      </c>
      <c r="M17" s="37">
        <v>0</v>
      </c>
      <c r="N17" s="37">
        <v>0</v>
      </c>
      <c r="O17" s="37">
        <v>0</v>
      </c>
      <c r="P17" s="37">
        <v>0</v>
      </c>
      <c r="Q17" s="37">
        <v>0</v>
      </c>
      <c r="R17" s="37">
        <v>0</v>
      </c>
      <c r="S17" s="37">
        <v>0</v>
      </c>
      <c r="T17" s="41">
        <f t="shared" si="0"/>
        <v>0</v>
      </c>
      <c r="U17" s="31" t="s">
        <v>357</v>
      </c>
      <c r="V17" s="45">
        <f>IFERROR(VLOOKUP(U17,'A22 (Allocation Factors)'!$D:$F,3,0),0)</f>
        <v>0</v>
      </c>
      <c r="W17" s="41">
        <f t="shared" si="1"/>
        <v>0</v>
      </c>
      <c r="X17" s="46" t="s">
        <v>357</v>
      </c>
    </row>
    <row r="18" spans="1:24" x14ac:dyDescent="0.25">
      <c r="A18" s="1" t="s">
        <v>478</v>
      </c>
      <c r="B18" s="104" t="s">
        <v>357</v>
      </c>
      <c r="C18" s="73" t="s">
        <v>357</v>
      </c>
      <c r="D18" s="105">
        <v>0</v>
      </c>
      <c r="E18" s="73" t="s">
        <v>357</v>
      </c>
      <c r="F18" s="73" t="s">
        <v>357</v>
      </c>
      <c r="G18" s="20">
        <v>0</v>
      </c>
      <c r="H18" s="20">
        <v>0</v>
      </c>
      <c r="I18" s="20">
        <v>0</v>
      </c>
      <c r="J18" s="20">
        <v>0</v>
      </c>
      <c r="K18" s="20">
        <v>0</v>
      </c>
      <c r="L18" s="20">
        <v>0</v>
      </c>
      <c r="M18" s="20">
        <v>0</v>
      </c>
      <c r="N18" s="20">
        <v>0</v>
      </c>
      <c r="O18" s="20">
        <v>0</v>
      </c>
      <c r="P18" s="20">
        <v>0</v>
      </c>
      <c r="Q18" s="20">
        <v>0</v>
      </c>
      <c r="R18" s="20">
        <v>0</v>
      </c>
      <c r="S18" s="20">
        <v>0</v>
      </c>
      <c r="T18" s="10">
        <f t="shared" si="0"/>
        <v>0</v>
      </c>
      <c r="U18" s="73" t="s">
        <v>357</v>
      </c>
      <c r="V18" s="74">
        <f>IFERROR(VLOOKUP(U18,'A22 (Allocation Factors)'!$D:$F,3,0),0)</f>
        <v>0</v>
      </c>
      <c r="W18" s="10">
        <f t="shared" si="1"/>
        <v>0</v>
      </c>
      <c r="X18" s="48" t="s">
        <v>357</v>
      </c>
    </row>
    <row r="19" spans="1:24" s="6" customFormat="1" x14ac:dyDescent="0.25">
      <c r="A19" s="88">
        <v>2</v>
      </c>
      <c r="B19" s="89" t="str">
        <f>"Total Construction Work in Progress (Sum Lns. ("&amp;A12&amp;" through "&amp;A18&amp;"))"</f>
        <v>Total Construction Work in Progress (Sum Lns. (1a through 1zz))</v>
      </c>
      <c r="C19" s="89"/>
      <c r="D19" s="89"/>
      <c r="E19" s="89"/>
      <c r="F19" s="89"/>
      <c r="G19" s="90">
        <f t="shared" ref="G19:T19" si="2">SUM(G12:G18)</f>
        <v>0</v>
      </c>
      <c r="H19" s="90">
        <f t="shared" si="2"/>
        <v>0</v>
      </c>
      <c r="I19" s="90">
        <f t="shared" si="2"/>
        <v>0</v>
      </c>
      <c r="J19" s="90">
        <f t="shared" si="2"/>
        <v>0</v>
      </c>
      <c r="K19" s="90">
        <f t="shared" si="2"/>
        <v>0</v>
      </c>
      <c r="L19" s="90">
        <f t="shared" si="2"/>
        <v>0</v>
      </c>
      <c r="M19" s="90">
        <f t="shared" si="2"/>
        <v>0</v>
      </c>
      <c r="N19" s="90">
        <f t="shared" si="2"/>
        <v>0</v>
      </c>
      <c r="O19" s="90">
        <f t="shared" si="2"/>
        <v>0</v>
      </c>
      <c r="P19" s="90">
        <f t="shared" si="2"/>
        <v>0</v>
      </c>
      <c r="Q19" s="90">
        <f t="shared" si="2"/>
        <v>0</v>
      </c>
      <c r="R19" s="90">
        <f t="shared" si="2"/>
        <v>0</v>
      </c>
      <c r="S19" s="90">
        <f t="shared" si="2"/>
        <v>0</v>
      </c>
      <c r="T19" s="90">
        <f t="shared" si="2"/>
        <v>0</v>
      </c>
      <c r="U19" s="89"/>
      <c r="V19" s="89"/>
      <c r="W19" s="90">
        <f t="shared" ref="W19" si="3">SUM(W12:W18)</f>
        <v>0</v>
      </c>
      <c r="X19" s="89"/>
    </row>
    <row r="20" spans="1:24" ht="5.25" customHeight="1" x14ac:dyDescent="0.25">
      <c r="A20" s="14"/>
      <c r="B20" s="5"/>
      <c r="C20" s="5"/>
      <c r="D20" s="5"/>
      <c r="E20" s="5"/>
      <c r="F20" s="5"/>
      <c r="G20" s="5"/>
      <c r="H20" s="5"/>
      <c r="I20" s="5"/>
      <c r="J20" s="5"/>
      <c r="K20" s="5"/>
      <c r="L20" s="5"/>
      <c r="M20" s="5"/>
      <c r="N20" s="5"/>
      <c r="O20" s="5"/>
      <c r="P20" s="5"/>
      <c r="Q20" s="5"/>
      <c r="R20" s="5"/>
      <c r="S20" s="5"/>
      <c r="T20" s="5"/>
      <c r="U20" s="5"/>
      <c r="V20" s="5"/>
      <c r="W20" s="5"/>
      <c r="X20" s="5"/>
    </row>
    <row r="21" spans="1:24" ht="5.25" customHeight="1" x14ac:dyDescent="0.25"/>
    <row r="22" spans="1:24" x14ac:dyDescent="0.25">
      <c r="A22" s="22" t="str">
        <f>note</f>
        <v>Notes and Sources:</v>
      </c>
    </row>
    <row r="23" spans="1:24" ht="48" customHeight="1" x14ac:dyDescent="0.25">
      <c r="A23" s="85">
        <v>1</v>
      </c>
      <c r="B23" s="274" t="str">
        <f>"Unless otherwise stated, source of shaded cells is company input/records. Lines "&amp;A12&amp;" through "&amp;A18&amp;" represent adjustable lines that may be expanded/compressed on an annual basis to provide for a sufficient breakout of CWIP balances."</f>
        <v>Unless otherwise stated, source of shaded cells is company input/records. Lines 1a through 1zz represent adjustable lines that may be expanded/compressed on an annual basis to provide for a sufficient breakout of CWIP balances.</v>
      </c>
      <c r="C23" s="274"/>
      <c r="D23" s="274"/>
      <c r="E23" s="274"/>
      <c r="F23" s="274"/>
    </row>
    <row r="24" spans="1:24" ht="51.75" customHeight="1" x14ac:dyDescent="0.25">
      <c r="A24" s="85">
        <v>2</v>
      </c>
      <c r="B24" s="273" t="s">
        <v>1144</v>
      </c>
      <c r="C24" s="273"/>
      <c r="D24" s="273"/>
      <c r="E24" s="273"/>
      <c r="F24" s="273"/>
    </row>
    <row r="25" spans="1:24" ht="48" customHeight="1" x14ac:dyDescent="0.25">
      <c r="A25" s="85">
        <v>3</v>
      </c>
      <c r="B25" s="274" t="str">
        <f>"Percentages greater than 0% listed in column "&amp;D9&amp;" must be accompanied by a corresponding FERC docket number in column "&amp;C9&amp;", where rate base treatment was specifically directed or approved by the Commission pursuant to a §205, §206, or §219 filing."</f>
        <v>Percentages greater than 0% listed in column [c] must be accompanied by a corresponding FERC docket number in column [b], where rate base treatment was specifically directed or approved by the Commission pursuant to a §205, §206, or §219 filing.</v>
      </c>
      <c r="C25" s="274"/>
      <c r="D25" s="274"/>
      <c r="E25" s="274"/>
      <c r="F25" s="274"/>
    </row>
    <row r="26" spans="1:24" ht="18.75" x14ac:dyDescent="0.25">
      <c r="A26" s="85">
        <v>4</v>
      </c>
      <c r="B26" s="274" t="str">
        <f>"Only network allocator codes listed on "&amp;'A22 (Allocation Factors)'!F1&amp;" may be inputed."</f>
        <v>Only network allocator codes listed on Worksheet A22 may be inputed.</v>
      </c>
      <c r="C26" s="274"/>
      <c r="D26" s="274"/>
      <c r="E26" s="274"/>
      <c r="F26" s="274"/>
    </row>
    <row r="27" spans="1:24" ht="5.25" customHeight="1" thickBot="1" x14ac:dyDescent="0.3">
      <c r="A27" s="24"/>
      <c r="B27" s="4"/>
      <c r="C27" s="4"/>
      <c r="D27" s="4"/>
      <c r="E27" s="4"/>
      <c r="F27" s="4"/>
      <c r="G27" s="4"/>
      <c r="H27" s="4"/>
      <c r="I27" s="4"/>
      <c r="J27" s="4"/>
      <c r="K27" s="4"/>
      <c r="L27" s="4"/>
      <c r="M27" s="4"/>
      <c r="N27" s="4"/>
      <c r="O27" s="4"/>
      <c r="P27" s="4"/>
      <c r="Q27" s="4"/>
      <c r="R27" s="4"/>
      <c r="S27" s="4"/>
      <c r="T27" s="4"/>
      <c r="U27" s="4"/>
      <c r="V27" s="4"/>
      <c r="W27" s="4"/>
      <c r="X27" s="4"/>
    </row>
    <row r="28" spans="1:24" ht="5.25" customHeight="1" thickTop="1" x14ac:dyDescent="0.25"/>
  </sheetData>
  <mergeCells count="16">
    <mergeCell ref="W7:W8"/>
    <mergeCell ref="X7:X8"/>
    <mergeCell ref="D7:D8"/>
    <mergeCell ref="E7:E8"/>
    <mergeCell ref="T7:T8"/>
    <mergeCell ref="A7:A9"/>
    <mergeCell ref="B7:B8"/>
    <mergeCell ref="C7:C8"/>
    <mergeCell ref="F7:F8"/>
    <mergeCell ref="U7:V7"/>
    <mergeCell ref="B25:F25"/>
    <mergeCell ref="B24:F24"/>
    <mergeCell ref="B26:F26"/>
    <mergeCell ref="G7:M7"/>
    <mergeCell ref="N7:S7"/>
    <mergeCell ref="B23:F23"/>
  </mergeCells>
  <phoneticPr fontId="7" type="noConversion"/>
  <pageMargins left="0.7" right="0.7" top="0.75" bottom="0.75" header="0.3" footer="0.3"/>
  <pageSetup scale="67" fitToWidth="4" orientation="landscape" horizontalDpi="1200" verticalDpi="1200" r:id="rId1"/>
  <headerFooter>
    <oddFooter>&amp;L&amp;6{W0327924.2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74a4cd09-5f17-433b-814a-38e7e9115d16"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1F3BAD060580D42BAE5A5F7BB599539" ma:contentTypeVersion="0" ma:contentTypeDescription="Create a new document." ma:contentTypeScope="" ma:versionID="ddf60e90b53a7bf2c1b47ab924f5a41f">
  <xsd:schema xmlns:xsd="http://www.w3.org/2001/XMLSchema" xmlns:xs="http://www.w3.org/2001/XMLSchema" xmlns:p="http://schemas.microsoft.com/office/2006/metadata/properties" targetNamespace="http://schemas.microsoft.com/office/2006/metadata/properties" ma:root="true" ma:fieldsID="2341298396067f5d70212a1b4ccb31b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00B538-7D7C-4B64-B73E-0CAE30DD617D}">
  <ds:schemaRefs>
    <ds:schemaRef ds:uri="Microsoft.SharePoint.Taxonomy.ContentTypeSync"/>
  </ds:schemaRefs>
</ds:datastoreItem>
</file>

<file path=customXml/itemProps2.xml><?xml version="1.0" encoding="utf-8"?>
<ds:datastoreItem xmlns:ds="http://schemas.openxmlformats.org/officeDocument/2006/customXml" ds:itemID="{DA7E8173-FC03-4036-B358-B3388563F1EE}">
  <ds:schemaRefs>
    <ds:schemaRef ds:uri="http://schemas.microsoft.com/sharepoint/v3/contenttype/forms"/>
  </ds:schemaRefs>
</ds:datastoreItem>
</file>

<file path=customXml/itemProps3.xml><?xml version="1.0" encoding="utf-8"?>
<ds:datastoreItem xmlns:ds="http://schemas.openxmlformats.org/officeDocument/2006/customXml" ds:itemID="{40E04333-76CD-4565-A72C-6F0892602D96}">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s>
</ds:datastoreItem>
</file>

<file path=customXml/itemProps4.xml><?xml version="1.0" encoding="utf-8"?>
<ds:datastoreItem xmlns:ds="http://schemas.openxmlformats.org/officeDocument/2006/customXml" ds:itemID="{85E1A95C-10B9-4C28-9693-0214C8A814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57</vt:i4>
      </vt:variant>
    </vt:vector>
  </HeadingPairs>
  <TitlesOfParts>
    <vt:vector size="100" baseType="lpstr">
      <vt:lpstr>Table of Contents</vt:lpstr>
      <vt:lpstr>Actual Attachment H</vt:lpstr>
      <vt:lpstr>A1 (FF1 Inputs)</vt:lpstr>
      <vt:lpstr>A2 (Divisor)</vt:lpstr>
      <vt:lpstr>A3 (Revenue Credits)</vt:lpstr>
      <vt:lpstr>A3-1 (Incr PV Rev Cred)</vt:lpstr>
      <vt:lpstr>A4 (Plant)</vt:lpstr>
      <vt:lpstr>A5 (Excluded Trans Plant)</vt:lpstr>
      <vt:lpstr>A6 (CWIP)</vt:lpstr>
      <vt:lpstr>A7 (DIT Averages)</vt:lpstr>
      <vt:lpstr>A8 (ADIT Balances)</vt:lpstr>
      <vt:lpstr>A9 (Excess and Deficient DIT)</vt:lpstr>
      <vt:lpstr>A10 (Reg Assets Liabilities)</vt:lpstr>
      <vt:lpstr>A11 (Abandoned Plant)</vt:lpstr>
      <vt:lpstr>A12 (Unfunded Reserves)</vt:lpstr>
      <vt:lpstr>A13 (Hold Harmless Adjustment)</vt:lpstr>
      <vt:lpstr>A14 (Land Held for Future Use)</vt:lpstr>
      <vt:lpstr>A15 (Working Capital)</vt:lpstr>
      <vt:lpstr>A16 (Operating Expenses)</vt:lpstr>
      <vt:lpstr>A17 (Taxes Other)</vt:lpstr>
      <vt:lpstr>A18 (Cost of Capital)</vt:lpstr>
      <vt:lpstr>A19 (Income Tax Rates)</vt:lpstr>
      <vt:lpstr>A20 (Permanent Differences)</vt:lpstr>
      <vt:lpstr>A21 (Incentive Plant)</vt:lpstr>
      <vt:lpstr>A22 (Allocation Factors)</vt:lpstr>
      <vt:lpstr>Actual Schedule 1</vt:lpstr>
      <vt:lpstr>Projected Attachment H</vt:lpstr>
      <vt:lpstr>P1 (Divisor)</vt:lpstr>
      <vt:lpstr>P2 (Trans Plant)</vt:lpstr>
      <vt:lpstr>P3 (CWIP)</vt:lpstr>
      <vt:lpstr>P4 (DIT Averages)</vt:lpstr>
      <vt:lpstr>P5 (ADIT Balances)</vt:lpstr>
      <vt:lpstr>P6 (Excess and Deficient DIT)</vt:lpstr>
      <vt:lpstr>P7 (Reg Assets Liabilities)</vt:lpstr>
      <vt:lpstr>P8 (Abandoned Plant)</vt:lpstr>
      <vt:lpstr>P9 (Expenses)</vt:lpstr>
      <vt:lpstr>P10 (Income Tax Rates)</vt:lpstr>
      <vt:lpstr>P11 (Incentive Plant)</vt:lpstr>
      <vt:lpstr>P12 (Allocation Factors)</vt:lpstr>
      <vt:lpstr>P13 (Depreciation Rates)</vt:lpstr>
      <vt:lpstr>P14 (Composite Depr Rate)</vt:lpstr>
      <vt:lpstr>P15 (True-Up Adjustment)</vt:lpstr>
      <vt:lpstr>Projected Sch 1</vt:lpstr>
      <vt:lpstr>des</vt:lpstr>
      <vt:lpstr>epe</vt:lpstr>
      <vt:lpstr>ferc</vt:lpstr>
      <vt:lpstr>frta</vt:lpstr>
      <vt:lpstr>frtp</vt:lpstr>
      <vt:lpstr>ln</vt:lpstr>
      <vt:lpstr>note</vt:lpstr>
      <vt:lpstr>'A10 (Reg Assets Liabilities)'!Print_Area</vt:lpstr>
      <vt:lpstr>'A11 (Abandoned Plant)'!Print_Area</vt:lpstr>
      <vt:lpstr>'A14 (Land Held for Future Use)'!Print_Area</vt:lpstr>
      <vt:lpstr>'A15 (Working Capital)'!Print_Area</vt:lpstr>
      <vt:lpstr>'A16 (Operating Expenses)'!Print_Area</vt:lpstr>
      <vt:lpstr>'A18 (Cost of Capital)'!Print_Area</vt:lpstr>
      <vt:lpstr>'A2 (Divisor)'!Print_Area</vt:lpstr>
      <vt:lpstr>'A20 (Permanent Differences)'!Print_Area</vt:lpstr>
      <vt:lpstr>'A3 (Revenue Credits)'!Print_Area</vt:lpstr>
      <vt:lpstr>'A3-1 (Incr PV Rev Cred)'!Print_Area</vt:lpstr>
      <vt:lpstr>'A4 (Plant)'!Print_Area</vt:lpstr>
      <vt:lpstr>'A5 (Excluded Trans Plant)'!Print_Area</vt:lpstr>
      <vt:lpstr>'A6 (CWIP)'!Print_Area</vt:lpstr>
      <vt:lpstr>'A7 (DIT Averages)'!Print_Area</vt:lpstr>
      <vt:lpstr>'A8 (ADIT Balances)'!Print_Area</vt:lpstr>
      <vt:lpstr>'A9 (Excess and Deficient DIT)'!Print_Area</vt:lpstr>
      <vt:lpstr>'Actual Schedule 1'!Print_Area</vt:lpstr>
      <vt:lpstr>'P14 (Composite Depr Rate)'!Print_Area</vt:lpstr>
      <vt:lpstr>'P2 (Trans Plant)'!Print_Area</vt:lpstr>
      <vt:lpstr>'P3 (CWIP)'!Print_Area</vt:lpstr>
      <vt:lpstr>'Projected Sch 1'!Print_Area</vt:lpstr>
      <vt:lpstr>'A1 (FF1 Inputs)'!Print_Titles</vt:lpstr>
      <vt:lpstr>'A10 (Reg Assets Liabilities)'!Print_Titles</vt:lpstr>
      <vt:lpstr>'A11 (Abandoned Plant)'!Print_Titles</vt:lpstr>
      <vt:lpstr>'A12 (Unfunded Reserves)'!Print_Titles</vt:lpstr>
      <vt:lpstr>'A13 (Hold Harmless Adjustment)'!Print_Titles</vt:lpstr>
      <vt:lpstr>'A14 (Land Held for Future Use)'!Print_Titles</vt:lpstr>
      <vt:lpstr>'A17 (Taxes Other)'!Print_Titles</vt:lpstr>
      <vt:lpstr>'A21 (Incentive Plant)'!Print_Titles</vt:lpstr>
      <vt:lpstr>'A4 (Plant)'!Print_Titles</vt:lpstr>
      <vt:lpstr>'A5 (Excluded Trans Plant)'!Print_Titles</vt:lpstr>
      <vt:lpstr>'A6 (CWIP)'!Print_Titles</vt:lpstr>
      <vt:lpstr>'A7 (DIT Averages)'!Print_Titles</vt:lpstr>
      <vt:lpstr>'A8 (ADIT Balances)'!Print_Titles</vt:lpstr>
      <vt:lpstr>'A9 (Excess and Deficient DIT)'!Print_Titles</vt:lpstr>
      <vt:lpstr>'Actual Attachment H'!Print_Titles</vt:lpstr>
      <vt:lpstr>'P11 (Incentive Plant)'!Print_Titles</vt:lpstr>
      <vt:lpstr>'P13 (Depreciation Rates)'!Print_Titles</vt:lpstr>
      <vt:lpstr>'P15 (True-Up Adjustment)'!Print_Titles</vt:lpstr>
      <vt:lpstr>'P2 (Trans Plant)'!Print_Titles</vt:lpstr>
      <vt:lpstr>'P3 (CWIP)'!Print_Titles</vt:lpstr>
      <vt:lpstr>'P4 (DIT Averages)'!Print_Titles</vt:lpstr>
      <vt:lpstr>'P5 (ADIT Balances)'!Print_Titles</vt:lpstr>
      <vt:lpstr>'P6 (Excess and Deficient DIT)'!Print_Titles</vt:lpstr>
      <vt:lpstr>'P7 (Reg Assets Liabilities)'!Print_Titles</vt:lpstr>
      <vt:lpstr>'P8 (Abandoned Plant)'!Print_Titles</vt:lpstr>
      <vt:lpstr>'P9 (Expenses)'!Print_Titles</vt:lpstr>
      <vt:lpstr>'Projected Attachment H'!Print_Titles</vt:lpstr>
      <vt:lpstr>ref</vt:lpstr>
      <vt:lpstr>tot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Zachary Ruckert</dc:creator>
  <cp:lastModifiedBy>Sarah Larsen</cp:lastModifiedBy>
  <cp:lastPrinted>2024-03-01T20:38:54Z</cp:lastPrinted>
  <dcterms:created xsi:type="dcterms:W3CDTF">2022-03-30T12:39:38Z</dcterms:created>
  <dcterms:modified xsi:type="dcterms:W3CDTF">2024-04-10T18:17:27Z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0x01010011F3BAD060580D42BAE5A5F7BB599539</vt:lpwstr>
  </property>
</Properties>
</file>